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michael_hodges_ntsb_gov/Documents/Desktop/"/>
    </mc:Choice>
  </mc:AlternateContent>
  <xr:revisionPtr revIDLastSave="1" documentId="8_{C8D103F7-5861-4391-AFDA-4A28901D5248}" xr6:coauthVersionLast="47" xr6:coauthVersionMax="47" xr10:uidLastSave="{0380045C-0223-4656-A553-465820D663FD}"/>
  <bookViews>
    <workbookView xWindow="-120" yWindow="-120" windowWidth="29040" windowHeight="15840" xr2:uid="{00000000-000D-0000-FFFF-FFFF00000000}"/>
  </bookViews>
  <sheets>
    <sheet name="20231129_AA0632_534503465_ADS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D2" i="1"/>
  <c r="CE2" i="1"/>
  <c r="A3" i="1"/>
  <c r="C3" i="1"/>
  <c r="S3" i="1"/>
  <c r="T3" i="1"/>
  <c r="U3" i="1"/>
  <c r="BB3" i="1"/>
  <c r="BD3" i="1"/>
  <c r="CE3" i="1"/>
  <c r="A4" i="1"/>
  <c r="C4" i="1"/>
  <c r="S4" i="1"/>
  <c r="T4" i="1"/>
  <c r="U4" i="1"/>
  <c r="BB4" i="1"/>
  <c r="BD4" i="1"/>
  <c r="CE4" i="1"/>
  <c r="A5" i="1"/>
  <c r="C5" i="1"/>
  <c r="S5" i="1"/>
  <c r="T5" i="1"/>
  <c r="U5" i="1"/>
  <c r="BB5" i="1"/>
  <c r="BD5" i="1"/>
  <c r="CE5" i="1"/>
  <c r="A6" i="1"/>
  <c r="C6" i="1"/>
  <c r="S6" i="1"/>
  <c r="T6" i="1"/>
  <c r="U6" i="1"/>
  <c r="BB6" i="1"/>
  <c r="BD6" i="1"/>
  <c r="CE6" i="1"/>
  <c r="A7" i="1"/>
  <c r="C7" i="1"/>
  <c r="S7" i="1"/>
  <c r="T7" i="1"/>
  <c r="U7" i="1"/>
  <c r="BB7" i="1"/>
  <c r="BD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BD10" i="1"/>
  <c r="CE10" i="1"/>
  <c r="A11" i="1"/>
  <c r="C11" i="1"/>
  <c r="S11" i="1"/>
  <c r="T11" i="1"/>
  <c r="U11" i="1"/>
  <c r="BB11" i="1"/>
  <c r="BD11" i="1"/>
  <c r="CE11" i="1"/>
  <c r="A12" i="1"/>
  <c r="C12" i="1"/>
  <c r="S12" i="1"/>
  <c r="T12" i="1"/>
  <c r="U12" i="1"/>
  <c r="BB12" i="1"/>
  <c r="BD12" i="1"/>
  <c r="CE12" i="1"/>
  <c r="A13" i="1"/>
  <c r="C13" i="1"/>
  <c r="S13" i="1"/>
  <c r="T13" i="1"/>
  <c r="U13" i="1"/>
  <c r="BB13" i="1"/>
  <c r="BD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BD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BD17" i="1"/>
  <c r="CE17" i="1"/>
  <c r="A18" i="1"/>
  <c r="C18" i="1"/>
  <c r="S18" i="1"/>
  <c r="T18" i="1"/>
  <c r="U18" i="1"/>
  <c r="BB18" i="1"/>
  <c r="BD18" i="1"/>
  <c r="CE18" i="1"/>
  <c r="A19" i="1"/>
  <c r="C19" i="1"/>
  <c r="S19" i="1"/>
  <c r="T19" i="1"/>
  <c r="U19" i="1"/>
  <c r="BB19" i="1"/>
  <c r="BD19" i="1"/>
  <c r="CE19" i="1"/>
  <c r="A20" i="1"/>
  <c r="C20" i="1"/>
  <c r="S20" i="1"/>
  <c r="T20" i="1"/>
  <c r="U20" i="1"/>
  <c r="BB20" i="1"/>
  <c r="BD20" i="1"/>
  <c r="CE20" i="1"/>
  <c r="A21" i="1"/>
  <c r="C21" i="1"/>
  <c r="S21" i="1"/>
  <c r="T21" i="1"/>
  <c r="U21" i="1"/>
  <c r="BB21" i="1"/>
  <c r="BD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CE52" i="1"/>
  <c r="A53" i="1"/>
  <c r="C53" i="1"/>
  <c r="S53" i="1"/>
  <c r="T53" i="1"/>
  <c r="U53" i="1"/>
  <c r="BB53" i="1"/>
  <c r="CE53" i="1"/>
  <c r="A54" i="1"/>
  <c r="C54" i="1"/>
  <c r="S54" i="1"/>
  <c r="T54" i="1"/>
  <c r="U54" i="1"/>
  <c r="BB54" i="1"/>
  <c r="CE54" i="1"/>
  <c r="A55" i="1"/>
  <c r="C55" i="1"/>
  <c r="S55" i="1"/>
  <c r="T55" i="1"/>
  <c r="U55" i="1"/>
  <c r="BB55" i="1"/>
  <c r="CE55" i="1"/>
  <c r="A56" i="1"/>
  <c r="C56" i="1"/>
  <c r="S56" i="1"/>
  <c r="T56" i="1"/>
  <c r="U56" i="1"/>
  <c r="BB56" i="1"/>
  <c r="CE56" i="1"/>
  <c r="A57" i="1"/>
  <c r="C57" i="1"/>
  <c r="S57" i="1"/>
  <c r="T57" i="1"/>
  <c r="U57" i="1"/>
  <c r="BB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CE76" i="1"/>
  <c r="A77" i="1"/>
  <c r="C77" i="1"/>
  <c r="S77" i="1"/>
  <c r="T77" i="1"/>
  <c r="U77" i="1"/>
  <c r="BB77" i="1"/>
  <c r="CE77" i="1"/>
  <c r="A78" i="1"/>
  <c r="C78" i="1"/>
  <c r="S78" i="1"/>
  <c r="T78" i="1"/>
  <c r="U78" i="1"/>
  <c r="BB78" i="1"/>
  <c r="CE78" i="1"/>
  <c r="A79" i="1"/>
  <c r="C79" i="1"/>
  <c r="S79" i="1"/>
  <c r="T79" i="1"/>
  <c r="U79" i="1"/>
  <c r="BB79" i="1"/>
  <c r="CE79" i="1"/>
  <c r="A80" i="1"/>
  <c r="C80" i="1"/>
  <c r="S80" i="1"/>
  <c r="T80" i="1"/>
  <c r="U80" i="1"/>
  <c r="BB80" i="1"/>
  <c r="CE80" i="1"/>
  <c r="A81" i="1"/>
  <c r="C81" i="1"/>
  <c r="S81" i="1"/>
  <c r="T81" i="1"/>
  <c r="U81" i="1"/>
  <c r="BB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U159" i="1"/>
  <c r="BB159" i="1"/>
  <c r="BD159" i="1"/>
  <c r="CE159" i="1"/>
  <c r="A160" i="1"/>
  <c r="C160" i="1"/>
  <c r="S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T257" i="1"/>
  <c r="U257" i="1"/>
  <c r="BB257" i="1"/>
  <c r="BD257" i="1"/>
  <c r="CE257" i="1"/>
  <c r="A258" i="1"/>
  <c r="C258" i="1"/>
  <c r="S258" i="1"/>
  <c r="T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T276" i="1"/>
  <c r="U276" i="1"/>
  <c r="BB276" i="1"/>
  <c r="BD276" i="1"/>
  <c r="CE276" i="1"/>
  <c r="A277" i="1"/>
  <c r="C277" i="1"/>
  <c r="S277" i="1"/>
  <c r="T277" i="1"/>
  <c r="U277" i="1"/>
  <c r="BB277" i="1"/>
  <c r="BD277" i="1"/>
  <c r="CE277" i="1"/>
  <c r="A278" i="1"/>
  <c r="C278" i="1"/>
  <c r="S278" i="1"/>
  <c r="T278" i="1"/>
  <c r="U278" i="1"/>
  <c r="BB278" i="1"/>
  <c r="BD278" i="1"/>
  <c r="CE278" i="1"/>
  <c r="A279" i="1"/>
  <c r="C279" i="1"/>
  <c r="S279" i="1"/>
  <c r="T279" i="1"/>
  <c r="U279" i="1"/>
  <c r="BB279" i="1"/>
  <c r="BD279" i="1"/>
  <c r="CE279" i="1"/>
  <c r="A280" i="1"/>
  <c r="C280" i="1"/>
  <c r="S280" i="1"/>
  <c r="T280" i="1"/>
  <c r="U280" i="1"/>
  <c r="BB280" i="1"/>
  <c r="BD280" i="1"/>
  <c r="CE280" i="1"/>
  <c r="A281" i="1"/>
  <c r="C281" i="1"/>
  <c r="S281" i="1"/>
  <c r="T281" i="1"/>
  <c r="U281" i="1"/>
  <c r="BB281" i="1"/>
  <c r="BD281" i="1"/>
  <c r="CE281" i="1"/>
  <c r="A282" i="1"/>
  <c r="C282" i="1"/>
  <c r="S282" i="1"/>
  <c r="T282" i="1"/>
  <c r="U282" i="1"/>
  <c r="BB282" i="1"/>
  <c r="BD282" i="1"/>
  <c r="CE282" i="1"/>
  <c r="A283" i="1"/>
  <c r="C283" i="1"/>
  <c r="S283" i="1"/>
  <c r="T283" i="1"/>
  <c r="U283" i="1"/>
  <c r="BB283" i="1"/>
  <c r="BD283" i="1"/>
  <c r="CE283" i="1"/>
  <c r="A284" i="1"/>
  <c r="C284" i="1"/>
  <c r="S284" i="1"/>
  <c r="T284" i="1"/>
  <c r="U284" i="1"/>
  <c r="BB284" i="1"/>
  <c r="BD284" i="1"/>
  <c r="CE284" i="1"/>
  <c r="A285" i="1"/>
  <c r="C285" i="1"/>
  <c r="S285" i="1"/>
  <c r="T285" i="1"/>
  <c r="U285" i="1"/>
  <c r="BB285" i="1"/>
  <c r="BD285" i="1"/>
  <c r="CE285" i="1"/>
  <c r="A286" i="1"/>
  <c r="C286" i="1"/>
  <c r="S286" i="1"/>
  <c r="T286" i="1"/>
  <c r="U286" i="1"/>
  <c r="BB286" i="1"/>
  <c r="BD286" i="1"/>
  <c r="CE286" i="1"/>
  <c r="A287" i="1"/>
  <c r="C287" i="1"/>
  <c r="S287" i="1"/>
  <c r="T287" i="1"/>
  <c r="U287" i="1"/>
  <c r="BB287" i="1"/>
  <c r="BD287" i="1"/>
  <c r="CE287" i="1"/>
  <c r="A288" i="1"/>
  <c r="C288" i="1"/>
  <c r="S288" i="1"/>
  <c r="T288" i="1"/>
  <c r="U288" i="1"/>
  <c r="BB288" i="1"/>
  <c r="BD288" i="1"/>
  <c r="CE288" i="1"/>
  <c r="A289" i="1"/>
  <c r="C289" i="1"/>
  <c r="S289" i="1"/>
  <c r="T289" i="1"/>
  <c r="U289" i="1"/>
  <c r="BB289" i="1"/>
  <c r="BD289" i="1"/>
  <c r="CE289" i="1"/>
  <c r="A290" i="1"/>
  <c r="C290" i="1"/>
  <c r="S290" i="1"/>
  <c r="T290" i="1"/>
  <c r="U290" i="1"/>
  <c r="BB290" i="1"/>
  <c r="BD290" i="1"/>
  <c r="CE290" i="1"/>
  <c r="A291" i="1"/>
  <c r="C291" i="1"/>
  <c r="S291" i="1"/>
  <c r="T291" i="1"/>
  <c r="U291" i="1"/>
  <c r="BB291" i="1"/>
  <c r="BD291" i="1"/>
  <c r="CE291" i="1"/>
  <c r="A292" i="1"/>
  <c r="C292" i="1"/>
  <c r="S292" i="1"/>
  <c r="T292" i="1"/>
  <c r="U292" i="1"/>
  <c r="BB292" i="1"/>
  <c r="BD292" i="1"/>
  <c r="CE292" i="1"/>
  <c r="A293" i="1"/>
  <c r="C293" i="1"/>
  <c r="S293" i="1"/>
  <c r="T293" i="1"/>
  <c r="U293" i="1"/>
  <c r="BB293" i="1"/>
  <c r="BD293" i="1"/>
  <c r="CE293" i="1"/>
  <c r="A294" i="1"/>
  <c r="C294" i="1"/>
  <c r="S294" i="1"/>
  <c r="T294" i="1"/>
  <c r="U294" i="1"/>
  <c r="BB294" i="1"/>
  <c r="BD294" i="1"/>
  <c r="CE294" i="1"/>
  <c r="A295" i="1"/>
  <c r="C295" i="1"/>
  <c r="S295" i="1"/>
  <c r="T295" i="1"/>
  <c r="U295" i="1"/>
  <c r="BB295" i="1"/>
  <c r="BD295" i="1"/>
  <c r="CE295" i="1"/>
  <c r="A296" i="1"/>
  <c r="C296" i="1"/>
  <c r="S296" i="1"/>
  <c r="T296" i="1"/>
  <c r="U296" i="1"/>
  <c r="BB296" i="1"/>
  <c r="BD296" i="1"/>
  <c r="CE296" i="1"/>
  <c r="A297" i="1"/>
  <c r="C297" i="1"/>
  <c r="S297" i="1"/>
  <c r="T297" i="1"/>
  <c r="U297" i="1"/>
  <c r="BB297" i="1"/>
  <c r="BD297" i="1"/>
  <c r="CE297" i="1"/>
  <c r="A298" i="1"/>
  <c r="C298" i="1"/>
  <c r="S298" i="1"/>
  <c r="T298" i="1"/>
  <c r="U298" i="1"/>
  <c r="BB298" i="1"/>
  <c r="BD298" i="1"/>
  <c r="CE298" i="1"/>
  <c r="A299" i="1"/>
  <c r="C299" i="1"/>
  <c r="S299" i="1"/>
  <c r="T299" i="1"/>
  <c r="U299" i="1"/>
  <c r="BB299" i="1"/>
  <c r="BD299" i="1"/>
  <c r="CE299" i="1"/>
  <c r="A300" i="1"/>
  <c r="C300" i="1"/>
  <c r="S300" i="1"/>
  <c r="T300" i="1"/>
  <c r="U300" i="1"/>
  <c r="BB300" i="1"/>
  <c r="BD300" i="1"/>
  <c r="CE300" i="1"/>
  <c r="A301" i="1"/>
  <c r="C301" i="1"/>
  <c r="S301" i="1"/>
  <c r="T301" i="1"/>
  <c r="U301" i="1"/>
  <c r="BB301" i="1"/>
  <c r="BD301" i="1"/>
  <c r="CE301" i="1"/>
  <c r="A302" i="1"/>
  <c r="C302" i="1"/>
  <c r="S302" i="1"/>
  <c r="T302" i="1"/>
  <c r="U302" i="1"/>
  <c r="BB302" i="1"/>
  <c r="BD302" i="1"/>
  <c r="CE302" i="1"/>
  <c r="A303" i="1"/>
  <c r="C303" i="1"/>
  <c r="S303" i="1"/>
  <c r="T303" i="1"/>
  <c r="U303" i="1"/>
  <c r="BB303" i="1"/>
  <c r="BD303" i="1"/>
  <c r="CE303" i="1"/>
  <c r="A304" i="1"/>
  <c r="C304" i="1"/>
  <c r="S304" i="1"/>
  <c r="T304" i="1"/>
  <c r="U304" i="1"/>
  <c r="BB304" i="1"/>
  <c r="BD304" i="1"/>
  <c r="CE304" i="1"/>
  <c r="A305" i="1"/>
  <c r="C305" i="1"/>
  <c r="S305" i="1"/>
  <c r="T305" i="1"/>
  <c r="U305" i="1"/>
  <c r="BB305" i="1"/>
  <c r="BD305" i="1"/>
  <c r="CE305" i="1"/>
  <c r="A306" i="1"/>
  <c r="C306" i="1"/>
  <c r="S306" i="1"/>
  <c r="T306" i="1"/>
  <c r="U306" i="1"/>
  <c r="BB306" i="1"/>
  <c r="BD306" i="1"/>
  <c r="CE306" i="1"/>
  <c r="A307" i="1"/>
  <c r="C307" i="1"/>
  <c r="S307" i="1"/>
  <c r="T307" i="1"/>
  <c r="U307" i="1"/>
  <c r="BB307" i="1"/>
  <c r="BD307" i="1"/>
  <c r="CE307" i="1"/>
  <c r="A308" i="1"/>
  <c r="C308" i="1"/>
  <c r="S308" i="1"/>
  <c r="T308" i="1"/>
  <c r="U308" i="1"/>
  <c r="BB308" i="1"/>
  <c r="BD308" i="1"/>
  <c r="CE308" i="1"/>
  <c r="A309" i="1"/>
  <c r="C309" i="1"/>
  <c r="S309" i="1"/>
  <c r="T309" i="1"/>
  <c r="U309" i="1"/>
  <c r="BB309" i="1"/>
  <c r="BD309" i="1"/>
  <c r="CE309" i="1"/>
  <c r="A310" i="1"/>
  <c r="C310" i="1"/>
  <c r="S310" i="1"/>
  <c r="T310" i="1"/>
  <c r="U310" i="1"/>
  <c r="BB310" i="1"/>
  <c r="BD310" i="1"/>
  <c r="CE310" i="1"/>
  <c r="A311" i="1"/>
  <c r="C311" i="1"/>
  <c r="S311" i="1"/>
  <c r="T311" i="1"/>
  <c r="U311" i="1"/>
  <c r="BB311" i="1"/>
  <c r="BD311" i="1"/>
  <c r="CE311" i="1"/>
  <c r="A312" i="1"/>
  <c r="C312" i="1"/>
  <c r="S312" i="1"/>
  <c r="T312" i="1"/>
  <c r="U312" i="1"/>
  <c r="BB312" i="1"/>
  <c r="BD312" i="1"/>
  <c r="CE312" i="1"/>
  <c r="A313" i="1"/>
  <c r="C313" i="1"/>
  <c r="S313" i="1"/>
  <c r="T313" i="1"/>
  <c r="U313" i="1"/>
  <c r="BB313" i="1"/>
  <c r="BD313" i="1"/>
  <c r="CE313" i="1"/>
  <c r="A314" i="1"/>
  <c r="C314" i="1"/>
  <c r="S314" i="1"/>
  <c r="T314" i="1"/>
  <c r="U314" i="1"/>
  <c r="BB314" i="1"/>
  <c r="BD314" i="1"/>
  <c r="CE314" i="1"/>
  <c r="A315" i="1"/>
  <c r="C315" i="1"/>
  <c r="S315" i="1"/>
  <c r="T315" i="1"/>
  <c r="U315" i="1"/>
  <c r="BB315" i="1"/>
  <c r="BD315" i="1"/>
  <c r="CE315" i="1"/>
  <c r="A316" i="1"/>
  <c r="C316" i="1"/>
  <c r="S316" i="1"/>
  <c r="T316" i="1"/>
  <c r="U316" i="1"/>
  <c r="BB316" i="1"/>
  <c r="BD316" i="1"/>
  <c r="CE316" i="1"/>
  <c r="A317" i="1"/>
  <c r="C317" i="1"/>
  <c r="S317" i="1"/>
  <c r="T317" i="1"/>
  <c r="U317" i="1"/>
  <c r="BB317" i="1"/>
  <c r="BD317" i="1"/>
  <c r="CE317" i="1"/>
  <c r="A318" i="1"/>
  <c r="C318" i="1"/>
  <c r="S318" i="1"/>
  <c r="T318" i="1"/>
  <c r="U318" i="1"/>
  <c r="BB318" i="1"/>
  <c r="BD318" i="1"/>
  <c r="CE318" i="1"/>
  <c r="A319" i="1"/>
  <c r="C319" i="1"/>
  <c r="S319" i="1"/>
  <c r="T319" i="1"/>
  <c r="U319" i="1"/>
  <c r="BB319" i="1"/>
  <c r="BD319" i="1"/>
  <c r="CE319" i="1"/>
  <c r="A320" i="1"/>
  <c r="C320" i="1"/>
  <c r="S320" i="1"/>
  <c r="T320" i="1"/>
  <c r="U320" i="1"/>
  <c r="BB320" i="1"/>
  <c r="BD320" i="1"/>
  <c r="CE320" i="1"/>
  <c r="A321" i="1"/>
  <c r="C321" i="1"/>
  <c r="S321" i="1"/>
  <c r="T321" i="1"/>
  <c r="U321" i="1"/>
  <c r="BB321" i="1"/>
  <c r="BD321" i="1"/>
  <c r="CE321" i="1"/>
  <c r="A322" i="1"/>
  <c r="C322" i="1"/>
  <c r="S322" i="1"/>
  <c r="T322" i="1"/>
  <c r="U322" i="1"/>
  <c r="BB322" i="1"/>
  <c r="BD322" i="1"/>
  <c r="CE322" i="1"/>
  <c r="A323" i="1"/>
  <c r="C323" i="1"/>
  <c r="S323" i="1"/>
  <c r="T323" i="1"/>
  <c r="U323" i="1"/>
  <c r="BB323" i="1"/>
  <c r="BD323" i="1"/>
  <c r="CE323" i="1"/>
  <c r="A324" i="1"/>
  <c r="C324" i="1"/>
  <c r="S324" i="1"/>
  <c r="T324" i="1"/>
  <c r="U324" i="1"/>
  <c r="BB324" i="1"/>
  <c r="BD324" i="1"/>
  <c r="CE324" i="1"/>
  <c r="A325" i="1"/>
  <c r="C325" i="1"/>
  <c r="S325" i="1"/>
  <c r="T325" i="1"/>
  <c r="U325" i="1"/>
  <c r="BB325" i="1"/>
  <c r="BD325" i="1"/>
  <c r="CE325" i="1"/>
  <c r="A326" i="1"/>
  <c r="C326" i="1"/>
  <c r="S326" i="1"/>
  <c r="T326" i="1"/>
  <c r="U326" i="1"/>
  <c r="BB326" i="1"/>
  <c r="BD326" i="1"/>
  <c r="CE326" i="1"/>
  <c r="A327" i="1"/>
  <c r="C327" i="1"/>
  <c r="S327" i="1"/>
  <c r="T327" i="1"/>
  <c r="U327" i="1"/>
  <c r="BB327" i="1"/>
  <c r="BD327" i="1"/>
  <c r="CE327" i="1"/>
  <c r="A328" i="1"/>
  <c r="C328" i="1"/>
  <c r="S328" i="1"/>
  <c r="T328" i="1"/>
  <c r="U328" i="1"/>
  <c r="BB328" i="1"/>
  <c r="BD328" i="1"/>
  <c r="CE328" i="1"/>
  <c r="A329" i="1"/>
  <c r="C329" i="1"/>
  <c r="S329" i="1"/>
  <c r="T329" i="1"/>
  <c r="U329" i="1"/>
  <c r="BB329" i="1"/>
  <c r="BD329" i="1"/>
  <c r="CE329" i="1"/>
  <c r="A330" i="1"/>
  <c r="C330" i="1"/>
  <c r="S330" i="1"/>
  <c r="T330" i="1"/>
  <c r="U330" i="1"/>
  <c r="BB330" i="1"/>
  <c r="BD330" i="1"/>
  <c r="CE330" i="1"/>
  <c r="A331" i="1"/>
  <c r="C331" i="1"/>
  <c r="S331" i="1"/>
  <c r="T331" i="1"/>
  <c r="U331" i="1"/>
  <c r="BB331" i="1"/>
  <c r="BD331" i="1"/>
  <c r="CE331" i="1"/>
  <c r="A332" i="1"/>
  <c r="C332" i="1"/>
  <c r="S332" i="1"/>
  <c r="T332" i="1"/>
  <c r="U332" i="1"/>
  <c r="BB332" i="1"/>
  <c r="BD332" i="1"/>
  <c r="CE332" i="1"/>
  <c r="A333" i="1"/>
  <c r="C333" i="1"/>
  <c r="S333" i="1"/>
  <c r="T333" i="1"/>
  <c r="U333" i="1"/>
  <c r="BB333" i="1"/>
  <c r="BD333" i="1"/>
  <c r="CE333" i="1"/>
  <c r="A334" i="1"/>
  <c r="C334" i="1"/>
  <c r="S334" i="1"/>
  <c r="T334" i="1"/>
  <c r="U334" i="1"/>
  <c r="BB334" i="1"/>
  <c r="BD334" i="1"/>
  <c r="CE334" i="1"/>
  <c r="A335" i="1"/>
  <c r="C335" i="1"/>
  <c r="S335" i="1"/>
  <c r="T335" i="1"/>
  <c r="U335" i="1"/>
  <c r="BB335" i="1"/>
  <c r="BD335" i="1"/>
  <c r="CE335" i="1"/>
  <c r="A336" i="1"/>
  <c r="C336" i="1"/>
  <c r="S336" i="1"/>
  <c r="T336" i="1"/>
  <c r="U336" i="1"/>
  <c r="BB336" i="1"/>
  <c r="BD336" i="1"/>
  <c r="CE336" i="1"/>
  <c r="A337" i="1"/>
  <c r="C337" i="1"/>
  <c r="S337" i="1"/>
  <c r="T337" i="1"/>
  <c r="U337" i="1"/>
  <c r="BB337" i="1"/>
  <c r="BD337" i="1"/>
  <c r="CE337" i="1"/>
  <c r="A338" i="1"/>
  <c r="C338" i="1"/>
  <c r="S338" i="1"/>
  <c r="T338" i="1"/>
  <c r="U338" i="1"/>
  <c r="BB338" i="1"/>
  <c r="BD338" i="1"/>
  <c r="CE338" i="1"/>
  <c r="A339" i="1"/>
  <c r="C339" i="1"/>
  <c r="S339" i="1"/>
  <c r="T339" i="1"/>
  <c r="U339" i="1"/>
  <c r="BB339" i="1"/>
  <c r="BD339" i="1"/>
  <c r="CE339" i="1"/>
  <c r="A340" i="1"/>
  <c r="C340" i="1"/>
  <c r="S340" i="1"/>
  <c r="T340" i="1"/>
  <c r="U340" i="1"/>
  <c r="BB340" i="1"/>
  <c r="BD340" i="1"/>
  <c r="CE340" i="1"/>
  <c r="A341" i="1"/>
  <c r="C341" i="1"/>
  <c r="S341" i="1"/>
  <c r="T341" i="1"/>
  <c r="U341" i="1"/>
  <c r="BB341" i="1"/>
  <c r="BD341" i="1"/>
  <c r="CE341" i="1"/>
  <c r="A342" i="1"/>
  <c r="C342" i="1"/>
  <c r="S342" i="1"/>
  <c r="T342" i="1"/>
  <c r="U342" i="1"/>
  <c r="BB342" i="1"/>
  <c r="BD342" i="1"/>
  <c r="CE342" i="1"/>
  <c r="A343" i="1"/>
  <c r="C343" i="1"/>
  <c r="S343" i="1"/>
  <c r="T343" i="1"/>
  <c r="U343" i="1"/>
  <c r="BB343" i="1"/>
  <c r="BD343" i="1"/>
  <c r="CE343" i="1"/>
  <c r="A344" i="1"/>
  <c r="C344" i="1"/>
  <c r="S344" i="1"/>
  <c r="T344" i="1"/>
  <c r="U344" i="1"/>
  <c r="BB344" i="1"/>
  <c r="BD344" i="1"/>
  <c r="CE344" i="1"/>
  <c r="A345" i="1"/>
  <c r="C345" i="1"/>
  <c r="S345" i="1"/>
  <c r="T345" i="1"/>
  <c r="U345" i="1"/>
  <c r="BB345" i="1"/>
  <c r="BD345" i="1"/>
  <c r="CE345" i="1"/>
  <c r="A346" i="1"/>
  <c r="C346" i="1"/>
  <c r="S346" i="1"/>
  <c r="T346" i="1"/>
  <c r="U346" i="1"/>
  <c r="BB346" i="1"/>
  <c r="BD346" i="1"/>
  <c r="CE346" i="1"/>
  <c r="A347" i="1"/>
  <c r="C347" i="1"/>
  <c r="S347" i="1"/>
  <c r="T347" i="1"/>
  <c r="U347" i="1"/>
  <c r="BB347" i="1"/>
  <c r="BD347" i="1"/>
  <c r="CE347" i="1"/>
  <c r="A348" i="1"/>
  <c r="C348" i="1"/>
  <c r="S348" i="1"/>
  <c r="T348" i="1"/>
  <c r="U348" i="1"/>
  <c r="BB348" i="1"/>
  <c r="BD348" i="1"/>
  <c r="CE348" i="1"/>
  <c r="A349" i="1"/>
  <c r="C349" i="1"/>
  <c r="S349" i="1"/>
  <c r="T349" i="1"/>
  <c r="U349" i="1"/>
  <c r="BB349" i="1"/>
  <c r="BD349" i="1"/>
  <c r="CE349" i="1"/>
  <c r="A350" i="1"/>
  <c r="C350" i="1"/>
  <c r="S350" i="1"/>
  <c r="T350" i="1"/>
  <c r="U350" i="1"/>
  <c r="BB350" i="1"/>
  <c r="BD350" i="1"/>
  <c r="CE350" i="1"/>
  <c r="A351" i="1"/>
  <c r="C351" i="1"/>
  <c r="S351" i="1"/>
  <c r="T351" i="1"/>
  <c r="U351" i="1"/>
  <c r="BB351" i="1"/>
  <c r="BD351" i="1"/>
  <c r="CE351" i="1"/>
  <c r="A352" i="1"/>
  <c r="C352" i="1"/>
  <c r="S352" i="1"/>
  <c r="T352" i="1"/>
  <c r="U352" i="1"/>
  <c r="BB352" i="1"/>
  <c r="BD352" i="1"/>
  <c r="CE352" i="1"/>
  <c r="A353" i="1"/>
  <c r="C353" i="1"/>
  <c r="S353" i="1"/>
  <c r="T353" i="1"/>
  <c r="U353" i="1"/>
  <c r="BB353" i="1"/>
  <c r="BD353" i="1"/>
  <c r="CE353" i="1"/>
  <c r="A354" i="1"/>
  <c r="C354" i="1"/>
  <c r="S354" i="1"/>
  <c r="T354" i="1"/>
  <c r="U354" i="1"/>
  <c r="BB354" i="1"/>
  <c r="BD354" i="1"/>
  <c r="CE354" i="1"/>
  <c r="A355" i="1"/>
  <c r="C355" i="1"/>
  <c r="S355" i="1"/>
  <c r="T355" i="1"/>
  <c r="U355" i="1"/>
  <c r="BB355" i="1"/>
  <c r="BD355" i="1"/>
  <c r="CE355" i="1"/>
  <c r="A356" i="1"/>
  <c r="C356" i="1"/>
  <c r="S356" i="1"/>
  <c r="T356" i="1"/>
  <c r="U356" i="1"/>
  <c r="BB356" i="1"/>
  <c r="BD356" i="1"/>
  <c r="CE356" i="1"/>
  <c r="A357" i="1"/>
  <c r="C357" i="1"/>
  <c r="S357" i="1"/>
  <c r="T357" i="1"/>
  <c r="U357" i="1"/>
  <c r="BB357" i="1"/>
  <c r="BD357" i="1"/>
  <c r="CE357" i="1"/>
  <c r="A358" i="1"/>
  <c r="C358" i="1"/>
  <c r="S358" i="1"/>
  <c r="T358" i="1"/>
  <c r="U358" i="1"/>
  <c r="BB358" i="1"/>
  <c r="BD358" i="1"/>
  <c r="CE358" i="1"/>
  <c r="A359" i="1"/>
  <c r="C359" i="1"/>
  <c r="S359" i="1"/>
  <c r="T359" i="1"/>
  <c r="U359" i="1"/>
  <c r="BB359" i="1"/>
  <c r="BD359" i="1"/>
  <c r="CE359" i="1"/>
  <c r="A360" i="1"/>
  <c r="C360" i="1"/>
  <c r="S360" i="1"/>
  <c r="T360" i="1"/>
  <c r="U360" i="1"/>
  <c r="BB360" i="1"/>
  <c r="BD360" i="1"/>
  <c r="CE360" i="1"/>
  <c r="A361" i="1"/>
  <c r="C361" i="1"/>
  <c r="S361" i="1"/>
  <c r="T361" i="1"/>
  <c r="U361" i="1"/>
  <c r="BB361" i="1"/>
  <c r="BD361" i="1"/>
  <c r="CE361" i="1"/>
  <c r="A362" i="1"/>
  <c r="C362" i="1"/>
  <c r="S362" i="1"/>
  <c r="T362" i="1"/>
  <c r="U362" i="1"/>
  <c r="BB362" i="1"/>
  <c r="BD362" i="1"/>
  <c r="CE362" i="1"/>
  <c r="A363" i="1"/>
  <c r="C363" i="1"/>
  <c r="S363" i="1"/>
  <c r="T363" i="1"/>
  <c r="U363" i="1"/>
  <c r="BB363" i="1"/>
  <c r="BD363" i="1"/>
  <c r="CE363" i="1"/>
  <c r="A364" i="1"/>
  <c r="C364" i="1"/>
  <c r="S364" i="1"/>
  <c r="T364" i="1"/>
  <c r="U364" i="1"/>
  <c r="BB364" i="1"/>
  <c r="BD364" i="1"/>
  <c r="CE364" i="1"/>
  <c r="A365" i="1"/>
  <c r="C365" i="1"/>
  <c r="S365" i="1"/>
  <c r="T365" i="1"/>
  <c r="U365" i="1"/>
  <c r="BB365" i="1"/>
  <c r="BD365" i="1"/>
  <c r="CE365" i="1"/>
  <c r="A366" i="1"/>
  <c r="C366" i="1"/>
  <c r="S366" i="1"/>
  <c r="T366" i="1"/>
  <c r="U366" i="1"/>
  <c r="BB366" i="1"/>
  <c r="BD366" i="1"/>
  <c r="CE366" i="1"/>
  <c r="A367" i="1"/>
  <c r="C367" i="1"/>
  <c r="S367" i="1"/>
  <c r="T367" i="1"/>
  <c r="U367" i="1"/>
  <c r="BB367" i="1"/>
  <c r="BD367" i="1"/>
  <c r="CE367" i="1"/>
  <c r="A368" i="1"/>
  <c r="C368" i="1"/>
  <c r="S368" i="1"/>
  <c r="T368" i="1"/>
  <c r="U368" i="1"/>
  <c r="BB368" i="1"/>
  <c r="BD368" i="1"/>
  <c r="CE368" i="1"/>
  <c r="A369" i="1"/>
  <c r="C369" i="1"/>
  <c r="S369" i="1"/>
  <c r="T369" i="1"/>
  <c r="U369" i="1"/>
  <c r="BB369" i="1"/>
  <c r="BD369" i="1"/>
  <c r="CE369" i="1"/>
  <c r="A370" i="1"/>
  <c r="C370" i="1"/>
  <c r="S370" i="1"/>
  <c r="T370" i="1"/>
  <c r="U370" i="1"/>
  <c r="BB370" i="1"/>
  <c r="BD370" i="1"/>
  <c r="CE370" i="1"/>
  <c r="A371" i="1"/>
  <c r="C371" i="1"/>
  <c r="S371" i="1"/>
  <c r="T371" i="1"/>
  <c r="U371" i="1"/>
  <c r="BB371" i="1"/>
  <c r="BD371" i="1"/>
  <c r="CE371" i="1"/>
  <c r="A372" i="1"/>
  <c r="C372" i="1"/>
  <c r="S372" i="1"/>
  <c r="T372" i="1"/>
  <c r="U372" i="1"/>
  <c r="BB372" i="1"/>
  <c r="BD372" i="1"/>
  <c r="CE372" i="1"/>
  <c r="A373" i="1"/>
  <c r="C373" i="1"/>
  <c r="S373" i="1"/>
  <c r="T373" i="1"/>
  <c r="U373" i="1"/>
  <c r="BB373" i="1"/>
  <c r="BD373" i="1"/>
  <c r="CE373" i="1"/>
  <c r="A374" i="1"/>
  <c r="C374" i="1"/>
  <c r="S374" i="1"/>
  <c r="T374" i="1"/>
  <c r="U374" i="1"/>
  <c r="BB374" i="1"/>
  <c r="BD374" i="1"/>
  <c r="CE374" i="1"/>
  <c r="A375" i="1"/>
  <c r="C375" i="1"/>
  <c r="S375" i="1"/>
  <c r="T375" i="1"/>
  <c r="U375" i="1"/>
  <c r="BB375" i="1"/>
  <c r="BD375" i="1"/>
  <c r="CE375" i="1"/>
  <c r="A376" i="1"/>
  <c r="C376" i="1"/>
  <c r="S376" i="1"/>
  <c r="T376" i="1"/>
  <c r="U376" i="1"/>
  <c r="BB376" i="1"/>
  <c r="BD376" i="1"/>
  <c r="CE376" i="1"/>
  <c r="A377" i="1"/>
  <c r="C377" i="1"/>
  <c r="S377" i="1"/>
  <c r="T377" i="1"/>
  <c r="U377" i="1"/>
  <c r="BB377" i="1"/>
  <c r="BD377" i="1"/>
  <c r="CE377" i="1"/>
  <c r="A378" i="1"/>
  <c r="C378" i="1"/>
  <c r="S378" i="1"/>
  <c r="T378" i="1"/>
  <c r="U378" i="1"/>
  <c r="BB378" i="1"/>
  <c r="BD378" i="1"/>
  <c r="CE378" i="1"/>
  <c r="A379" i="1"/>
  <c r="C379" i="1"/>
  <c r="S379" i="1"/>
  <c r="T379" i="1"/>
  <c r="U379" i="1"/>
  <c r="BB379" i="1"/>
  <c r="BD379" i="1"/>
  <c r="CE379" i="1"/>
  <c r="A380" i="1"/>
  <c r="C380" i="1"/>
  <c r="S380" i="1"/>
  <c r="T380" i="1"/>
  <c r="U380" i="1"/>
  <c r="BB380" i="1"/>
  <c r="BD380" i="1"/>
  <c r="CE380" i="1"/>
  <c r="A381" i="1"/>
  <c r="C381" i="1"/>
  <c r="S381" i="1"/>
  <c r="T381" i="1"/>
  <c r="U381" i="1"/>
  <c r="BB381" i="1"/>
  <c r="BD381" i="1"/>
  <c r="CE381" i="1"/>
  <c r="A382" i="1"/>
  <c r="C382" i="1"/>
  <c r="S382" i="1"/>
  <c r="T382" i="1"/>
  <c r="U382" i="1"/>
  <c r="BB382" i="1"/>
  <c r="BD382" i="1"/>
  <c r="CE382" i="1"/>
  <c r="A383" i="1"/>
  <c r="C383" i="1"/>
  <c r="S383" i="1"/>
  <c r="T383" i="1"/>
  <c r="U383" i="1"/>
  <c r="BB383" i="1"/>
  <c r="BD383" i="1"/>
  <c r="CE383" i="1"/>
  <c r="A384" i="1"/>
  <c r="C384" i="1"/>
  <c r="S384" i="1"/>
  <c r="T384" i="1"/>
  <c r="U384" i="1"/>
  <c r="BB384" i="1"/>
  <c r="BD384" i="1"/>
  <c r="CE384" i="1"/>
  <c r="A385" i="1"/>
  <c r="C385" i="1"/>
  <c r="S385" i="1"/>
  <c r="T385" i="1"/>
  <c r="U385" i="1"/>
  <c r="BB385" i="1"/>
  <c r="BD385" i="1"/>
  <c r="CE385" i="1"/>
  <c r="A386" i="1"/>
  <c r="C386" i="1"/>
  <c r="S386" i="1"/>
  <c r="T386" i="1"/>
  <c r="U386" i="1"/>
  <c r="BB386" i="1"/>
  <c r="BD386" i="1"/>
  <c r="CE386" i="1"/>
  <c r="A387" i="1"/>
  <c r="C387" i="1"/>
  <c r="S387" i="1"/>
  <c r="T387" i="1"/>
  <c r="U387" i="1"/>
  <c r="BB387" i="1"/>
  <c r="BD387" i="1"/>
  <c r="CE387" i="1"/>
  <c r="A388" i="1"/>
  <c r="C388" i="1"/>
  <c r="S388" i="1"/>
  <c r="T388" i="1"/>
  <c r="U388" i="1"/>
  <c r="BB388" i="1"/>
  <c r="BD388" i="1"/>
  <c r="CE388" i="1"/>
  <c r="A389" i="1"/>
  <c r="C389" i="1"/>
  <c r="S389" i="1"/>
  <c r="T389" i="1"/>
  <c r="U389" i="1"/>
  <c r="BB389" i="1"/>
  <c r="BD389" i="1"/>
  <c r="CE389" i="1"/>
  <c r="A390" i="1"/>
  <c r="C390" i="1"/>
  <c r="S390" i="1"/>
  <c r="T390" i="1"/>
  <c r="U390" i="1"/>
  <c r="BB390" i="1"/>
  <c r="BD390" i="1"/>
  <c r="CE390" i="1"/>
  <c r="A391" i="1"/>
  <c r="C391" i="1"/>
  <c r="S391" i="1"/>
  <c r="T391" i="1"/>
  <c r="U391" i="1"/>
  <c r="BB391" i="1"/>
  <c r="BD391" i="1"/>
  <c r="CE391" i="1"/>
  <c r="A392" i="1"/>
  <c r="C392" i="1"/>
  <c r="S392" i="1"/>
  <c r="T392" i="1"/>
  <c r="U392" i="1"/>
  <c r="BB392" i="1"/>
  <c r="BD392" i="1"/>
  <c r="CE392" i="1"/>
  <c r="A393" i="1"/>
  <c r="C393" i="1"/>
  <c r="S393" i="1"/>
  <c r="T393" i="1"/>
  <c r="U393" i="1"/>
  <c r="BB393" i="1"/>
  <c r="BD393" i="1"/>
  <c r="CE393" i="1"/>
  <c r="A394" i="1"/>
  <c r="C394" i="1"/>
  <c r="S394" i="1"/>
  <c r="T394" i="1"/>
  <c r="U394" i="1"/>
  <c r="BB394" i="1"/>
  <c r="BD394" i="1"/>
  <c r="CE394" i="1"/>
  <c r="A395" i="1"/>
  <c r="C395" i="1"/>
  <c r="S395" i="1"/>
  <c r="T395" i="1"/>
  <c r="U395" i="1"/>
  <c r="BB395" i="1"/>
  <c r="BD395" i="1"/>
  <c r="CE395" i="1"/>
  <c r="A396" i="1"/>
  <c r="C396" i="1"/>
  <c r="S396" i="1"/>
  <c r="T396" i="1"/>
  <c r="U396" i="1"/>
  <c r="BB396" i="1"/>
  <c r="BD396" i="1"/>
  <c r="CE396" i="1"/>
  <c r="A397" i="1"/>
  <c r="C397" i="1"/>
  <c r="S397" i="1"/>
  <c r="T397" i="1"/>
  <c r="U397" i="1"/>
  <c r="BB397" i="1"/>
  <c r="BD397" i="1"/>
  <c r="CE397" i="1"/>
  <c r="A398" i="1"/>
  <c r="C398" i="1"/>
  <c r="S398" i="1"/>
  <c r="T398" i="1"/>
  <c r="U398" i="1"/>
  <c r="BB398" i="1"/>
  <c r="BD398" i="1"/>
  <c r="CE398" i="1"/>
  <c r="A399" i="1"/>
  <c r="C399" i="1"/>
  <c r="S399" i="1"/>
  <c r="T399" i="1"/>
  <c r="U399" i="1"/>
  <c r="BB399" i="1"/>
  <c r="BD399" i="1"/>
  <c r="CE399" i="1"/>
  <c r="A400" i="1"/>
  <c r="C400" i="1"/>
  <c r="S400" i="1"/>
  <c r="T400" i="1"/>
  <c r="U400" i="1"/>
  <c r="BB400" i="1"/>
  <c r="BD400" i="1"/>
  <c r="CE400" i="1"/>
  <c r="A401" i="1"/>
  <c r="C401" i="1"/>
  <c r="S401" i="1"/>
  <c r="T401" i="1"/>
  <c r="U401" i="1"/>
  <c r="BB401" i="1"/>
  <c r="BD401" i="1"/>
  <c r="CE401" i="1"/>
  <c r="A402" i="1"/>
  <c r="C402" i="1"/>
  <c r="S402" i="1"/>
  <c r="T402" i="1"/>
  <c r="U402" i="1"/>
  <c r="BB402" i="1"/>
  <c r="BD402" i="1"/>
  <c r="CE402" i="1"/>
  <c r="A403" i="1"/>
  <c r="C403" i="1"/>
  <c r="S403" i="1"/>
  <c r="T403" i="1"/>
  <c r="U403" i="1"/>
  <c r="BB403" i="1"/>
  <c r="BD403" i="1"/>
  <c r="CE403" i="1"/>
  <c r="A404" i="1"/>
  <c r="C404" i="1"/>
  <c r="S404" i="1"/>
  <c r="T404" i="1"/>
  <c r="U404" i="1"/>
  <c r="BB404" i="1"/>
  <c r="BD404" i="1"/>
  <c r="CE404" i="1"/>
  <c r="A405" i="1"/>
  <c r="C405" i="1"/>
  <c r="S405" i="1"/>
  <c r="T405" i="1"/>
  <c r="U405" i="1"/>
  <c r="BB405" i="1"/>
  <c r="BD405" i="1"/>
  <c r="CE405" i="1"/>
  <c r="A406" i="1"/>
  <c r="C406" i="1"/>
  <c r="S406" i="1"/>
  <c r="T406" i="1"/>
  <c r="U406" i="1"/>
  <c r="BB406" i="1"/>
  <c r="BD406" i="1"/>
  <c r="CE406" i="1"/>
  <c r="A407" i="1"/>
  <c r="C407" i="1"/>
  <c r="S407" i="1"/>
  <c r="T407" i="1"/>
  <c r="U407" i="1"/>
  <c r="BB407" i="1"/>
  <c r="BD407" i="1"/>
  <c r="CE407" i="1"/>
  <c r="A408" i="1"/>
  <c r="C408" i="1"/>
  <c r="S408" i="1"/>
  <c r="T408" i="1"/>
  <c r="U408" i="1"/>
  <c r="BB408" i="1"/>
  <c r="BD408" i="1"/>
  <c r="CE408" i="1"/>
  <c r="A409" i="1"/>
  <c r="C409" i="1"/>
  <c r="S409" i="1"/>
  <c r="T409" i="1"/>
  <c r="U409" i="1"/>
  <c r="BB409" i="1"/>
  <c r="BD409" i="1"/>
  <c r="CE409" i="1"/>
  <c r="A410" i="1"/>
  <c r="C410" i="1"/>
  <c r="S410" i="1"/>
  <c r="T410" i="1"/>
  <c r="U410" i="1"/>
  <c r="BB410" i="1"/>
  <c r="BD410" i="1"/>
  <c r="CE410" i="1"/>
  <c r="A411" i="1"/>
  <c r="C411" i="1"/>
  <c r="S411" i="1"/>
  <c r="T411" i="1"/>
  <c r="U411" i="1"/>
  <c r="BB411" i="1"/>
  <c r="BD411" i="1"/>
  <c r="CE411" i="1"/>
  <c r="A412" i="1"/>
  <c r="C412" i="1"/>
  <c r="S412" i="1"/>
  <c r="T412" i="1"/>
  <c r="U412" i="1"/>
  <c r="BB412" i="1"/>
  <c r="BD412" i="1"/>
  <c r="CE412" i="1"/>
  <c r="A413" i="1"/>
  <c r="C413" i="1"/>
  <c r="S413" i="1"/>
  <c r="T413" i="1"/>
  <c r="U413" i="1"/>
  <c r="BB413" i="1"/>
  <c r="BD413" i="1"/>
  <c r="CE413" i="1"/>
  <c r="A414" i="1"/>
  <c r="C414" i="1"/>
  <c r="S414" i="1"/>
  <c r="T414" i="1"/>
  <c r="U414" i="1"/>
  <c r="BB414" i="1"/>
  <c r="BD414" i="1"/>
  <c r="CE414" i="1"/>
  <c r="A415" i="1"/>
  <c r="C415" i="1"/>
  <c r="S415" i="1"/>
  <c r="T415" i="1"/>
  <c r="U415" i="1"/>
  <c r="BB415" i="1"/>
  <c r="BD415" i="1"/>
  <c r="CE415" i="1"/>
  <c r="A416" i="1"/>
  <c r="C416" i="1"/>
  <c r="S416" i="1"/>
  <c r="T416" i="1"/>
  <c r="U416" i="1"/>
  <c r="BB416" i="1"/>
  <c r="BD416" i="1"/>
  <c r="CE416" i="1"/>
  <c r="A417" i="1"/>
  <c r="C417" i="1"/>
  <c r="S417" i="1"/>
  <c r="T417" i="1"/>
  <c r="U417" i="1"/>
  <c r="BB417" i="1"/>
  <c r="BD417" i="1"/>
  <c r="CE417" i="1"/>
  <c r="A418" i="1"/>
  <c r="C418" i="1"/>
  <c r="S418" i="1"/>
  <c r="T418" i="1"/>
  <c r="U418" i="1"/>
  <c r="BB418" i="1"/>
  <c r="BD418" i="1"/>
  <c r="CE418" i="1"/>
  <c r="A419" i="1"/>
  <c r="C419" i="1"/>
  <c r="S419" i="1"/>
  <c r="T419" i="1"/>
  <c r="U419" i="1"/>
  <c r="BB419" i="1"/>
  <c r="BD419" i="1"/>
  <c r="CE419" i="1"/>
  <c r="A420" i="1"/>
  <c r="C420" i="1"/>
  <c r="S420" i="1"/>
  <c r="T420" i="1"/>
  <c r="U420" i="1"/>
  <c r="BB420" i="1"/>
  <c r="BD420" i="1"/>
  <c r="CE420" i="1"/>
  <c r="A421" i="1"/>
  <c r="C421" i="1"/>
  <c r="S421" i="1"/>
  <c r="T421" i="1"/>
  <c r="U421" i="1"/>
  <c r="BB421" i="1"/>
  <c r="BD421" i="1"/>
  <c r="CE421" i="1"/>
  <c r="A422" i="1"/>
  <c r="C422" i="1"/>
  <c r="S422" i="1"/>
  <c r="T422" i="1"/>
  <c r="U422" i="1"/>
  <c r="BB422" i="1"/>
  <c r="BD422" i="1"/>
  <c r="CE422" i="1"/>
  <c r="A423" i="1"/>
  <c r="C423" i="1"/>
  <c r="S423" i="1"/>
  <c r="T423" i="1"/>
  <c r="U423" i="1"/>
  <c r="BB423" i="1"/>
  <c r="BD423" i="1"/>
  <c r="CE423" i="1"/>
  <c r="A424" i="1"/>
  <c r="C424" i="1"/>
  <c r="S424" i="1"/>
  <c r="T424" i="1"/>
  <c r="U424" i="1"/>
  <c r="BB424" i="1"/>
  <c r="BD424" i="1"/>
  <c r="CE424" i="1"/>
  <c r="A425" i="1"/>
  <c r="C425" i="1"/>
  <c r="S425" i="1"/>
  <c r="T425" i="1"/>
  <c r="U425" i="1"/>
  <c r="BB425" i="1"/>
  <c r="BD425" i="1"/>
  <c r="CE425" i="1"/>
  <c r="A426" i="1"/>
  <c r="C426" i="1"/>
  <c r="S426" i="1"/>
  <c r="T426" i="1"/>
  <c r="U426" i="1"/>
  <c r="BB426" i="1"/>
  <c r="BD426" i="1"/>
  <c r="CE426" i="1"/>
  <c r="A427" i="1"/>
  <c r="C427" i="1"/>
  <c r="S427" i="1"/>
  <c r="T427" i="1"/>
  <c r="U427" i="1"/>
  <c r="BB427" i="1"/>
  <c r="BD427" i="1"/>
  <c r="CE427" i="1"/>
  <c r="A428" i="1"/>
  <c r="C428" i="1"/>
  <c r="S428" i="1"/>
  <c r="T428" i="1"/>
  <c r="U428" i="1"/>
  <c r="BB428" i="1"/>
  <c r="BD428" i="1"/>
  <c r="CE428" i="1"/>
  <c r="A429" i="1"/>
  <c r="C429" i="1"/>
  <c r="S429" i="1"/>
  <c r="T429" i="1"/>
  <c r="U429" i="1"/>
  <c r="BB429" i="1"/>
  <c r="BD429" i="1"/>
  <c r="CE429" i="1"/>
  <c r="A430" i="1"/>
  <c r="C430" i="1"/>
  <c r="S430" i="1"/>
  <c r="T430" i="1"/>
  <c r="U430" i="1"/>
  <c r="BB430" i="1"/>
  <c r="BD430" i="1"/>
  <c r="CE430" i="1"/>
  <c r="A431" i="1"/>
  <c r="C431" i="1"/>
  <c r="S431" i="1"/>
  <c r="T431" i="1"/>
  <c r="U431" i="1"/>
  <c r="BB431" i="1"/>
  <c r="BD431" i="1"/>
  <c r="CE431" i="1"/>
  <c r="A432" i="1"/>
  <c r="C432" i="1"/>
  <c r="S432" i="1"/>
  <c r="T432" i="1"/>
  <c r="U432" i="1"/>
  <c r="BB432" i="1"/>
  <c r="BD432" i="1"/>
  <c r="CE432" i="1"/>
  <c r="A433" i="1"/>
  <c r="C433" i="1"/>
  <c r="S433" i="1"/>
  <c r="T433" i="1"/>
  <c r="U433" i="1"/>
  <c r="BB433" i="1"/>
  <c r="BD433" i="1"/>
  <c r="CE433" i="1"/>
  <c r="A434" i="1"/>
  <c r="C434" i="1"/>
  <c r="S434" i="1"/>
  <c r="T434" i="1"/>
  <c r="U434" i="1"/>
  <c r="BB434" i="1"/>
  <c r="BD434" i="1"/>
  <c r="CE434" i="1"/>
  <c r="A435" i="1"/>
  <c r="C435" i="1"/>
  <c r="S435" i="1"/>
  <c r="T435" i="1"/>
  <c r="U435" i="1"/>
  <c r="BB435" i="1"/>
  <c r="BD435" i="1"/>
  <c r="CE435" i="1"/>
  <c r="A436" i="1"/>
  <c r="C436" i="1"/>
  <c r="S436" i="1"/>
  <c r="T436" i="1"/>
  <c r="U436" i="1"/>
  <c r="BB436" i="1"/>
  <c r="BD436" i="1"/>
  <c r="CE436" i="1"/>
  <c r="A437" i="1"/>
  <c r="C437" i="1"/>
  <c r="S437" i="1"/>
  <c r="T437" i="1"/>
  <c r="U437" i="1"/>
  <c r="BB437" i="1"/>
  <c r="BD437" i="1"/>
  <c r="CE437" i="1"/>
  <c r="A438" i="1"/>
  <c r="C438" i="1"/>
  <c r="S438" i="1"/>
  <c r="T438" i="1"/>
  <c r="U438" i="1"/>
  <c r="BB438" i="1"/>
  <c r="BD438" i="1"/>
  <c r="CE438" i="1"/>
  <c r="A439" i="1"/>
  <c r="C439" i="1"/>
  <c r="S439" i="1"/>
  <c r="T439" i="1"/>
  <c r="U439" i="1"/>
  <c r="BB439" i="1"/>
  <c r="BD439" i="1"/>
  <c r="CE439" i="1"/>
  <c r="A440" i="1"/>
  <c r="C440" i="1"/>
  <c r="S440" i="1"/>
  <c r="T440" i="1"/>
  <c r="U440" i="1"/>
  <c r="BB440" i="1"/>
  <c r="BD440" i="1"/>
  <c r="CE440" i="1"/>
  <c r="A441" i="1"/>
  <c r="C441" i="1"/>
  <c r="S441" i="1"/>
  <c r="T441" i="1"/>
  <c r="U441" i="1"/>
  <c r="BB441" i="1"/>
  <c r="BD441" i="1"/>
  <c r="CE441" i="1"/>
  <c r="A442" i="1"/>
  <c r="C442" i="1"/>
  <c r="S442" i="1"/>
  <c r="T442" i="1"/>
  <c r="U442" i="1"/>
  <c r="BB442" i="1"/>
  <c r="BD442" i="1"/>
  <c r="CE442" i="1"/>
  <c r="A443" i="1"/>
  <c r="C443" i="1"/>
  <c r="S443" i="1"/>
  <c r="T443" i="1"/>
  <c r="U443" i="1"/>
  <c r="BB443" i="1"/>
  <c r="BD443" i="1"/>
  <c r="CE443" i="1"/>
  <c r="A444" i="1"/>
  <c r="C444" i="1"/>
  <c r="S444" i="1"/>
  <c r="T444" i="1"/>
  <c r="U444" i="1"/>
  <c r="BB444" i="1"/>
  <c r="BD444" i="1"/>
  <c r="CE444" i="1"/>
  <c r="A445" i="1"/>
  <c r="C445" i="1"/>
  <c r="S445" i="1"/>
  <c r="T445" i="1"/>
  <c r="U445" i="1"/>
  <c r="BB445" i="1"/>
  <c r="BD445" i="1"/>
  <c r="CE445" i="1"/>
  <c r="A446" i="1"/>
  <c r="C446" i="1"/>
  <c r="S446" i="1"/>
  <c r="T446" i="1"/>
  <c r="U446" i="1"/>
  <c r="BB446" i="1"/>
  <c r="BD446" i="1"/>
  <c r="CE446" i="1"/>
  <c r="A447" i="1"/>
  <c r="C447" i="1"/>
  <c r="S447" i="1"/>
  <c r="T447" i="1"/>
  <c r="U447" i="1"/>
  <c r="BB447" i="1"/>
  <c r="BD447" i="1"/>
  <c r="CE447" i="1"/>
  <c r="A448" i="1"/>
  <c r="C448" i="1"/>
  <c r="S448" i="1"/>
  <c r="T448" i="1"/>
  <c r="U448" i="1"/>
  <c r="BB448" i="1"/>
  <c r="BD448" i="1"/>
  <c r="CE448" i="1"/>
  <c r="A449" i="1"/>
  <c r="C449" i="1"/>
  <c r="S449" i="1"/>
  <c r="T449" i="1"/>
  <c r="U449" i="1"/>
  <c r="BB449" i="1"/>
  <c r="BD449" i="1"/>
  <c r="CE449" i="1"/>
  <c r="A450" i="1"/>
  <c r="C450" i="1"/>
  <c r="S450" i="1"/>
  <c r="T450" i="1"/>
  <c r="U450" i="1"/>
  <c r="BB450" i="1"/>
  <c r="BD450" i="1"/>
  <c r="CE450" i="1"/>
  <c r="A451" i="1"/>
  <c r="C451" i="1"/>
  <c r="S451" i="1"/>
  <c r="T451" i="1"/>
  <c r="U451" i="1"/>
  <c r="BB451" i="1"/>
  <c r="BD451" i="1"/>
  <c r="CE451" i="1"/>
  <c r="A452" i="1"/>
  <c r="C452" i="1"/>
  <c r="S452" i="1"/>
  <c r="T452" i="1"/>
  <c r="U452" i="1"/>
  <c r="BB452" i="1"/>
  <c r="BD452" i="1"/>
  <c r="CE452" i="1"/>
  <c r="A453" i="1"/>
  <c r="C453" i="1"/>
  <c r="S453" i="1"/>
  <c r="T453" i="1"/>
  <c r="U453" i="1"/>
  <c r="BB453" i="1"/>
  <c r="BD453" i="1"/>
  <c r="CE453" i="1"/>
  <c r="A454" i="1"/>
  <c r="C454" i="1"/>
  <c r="S454" i="1"/>
  <c r="T454" i="1"/>
  <c r="U454" i="1"/>
  <c r="BB454" i="1"/>
  <c r="BD454" i="1"/>
  <c r="CE454" i="1"/>
  <c r="A455" i="1"/>
  <c r="C455" i="1"/>
  <c r="S455" i="1"/>
  <c r="T455" i="1"/>
  <c r="U455" i="1"/>
  <c r="BB455" i="1"/>
  <c r="BD455" i="1"/>
  <c r="CE455" i="1"/>
  <c r="A456" i="1"/>
  <c r="C456" i="1"/>
  <c r="S456" i="1"/>
  <c r="T456" i="1"/>
  <c r="U456" i="1"/>
  <c r="BB456" i="1"/>
  <c r="BD456" i="1"/>
  <c r="CE456" i="1"/>
  <c r="A457" i="1"/>
  <c r="C457" i="1"/>
  <c r="S457" i="1"/>
  <c r="T457" i="1"/>
  <c r="U457" i="1"/>
  <c r="BB457" i="1"/>
  <c r="BD457" i="1"/>
  <c r="CE457" i="1"/>
  <c r="A458" i="1"/>
  <c r="C458" i="1"/>
  <c r="S458" i="1"/>
  <c r="T458" i="1"/>
  <c r="U458" i="1"/>
  <c r="BB458" i="1"/>
  <c r="BD458" i="1"/>
  <c r="CE458" i="1"/>
  <c r="A459" i="1"/>
  <c r="C459" i="1"/>
  <c r="S459" i="1"/>
  <c r="T459" i="1"/>
  <c r="U459" i="1"/>
  <c r="BB459" i="1"/>
  <c r="BD459" i="1"/>
  <c r="CE459" i="1"/>
  <c r="A460" i="1"/>
  <c r="C460" i="1"/>
  <c r="S460" i="1"/>
  <c r="T460" i="1"/>
  <c r="U460" i="1"/>
  <c r="BB460" i="1"/>
  <c r="BD460" i="1"/>
  <c r="CE460" i="1"/>
  <c r="A461" i="1"/>
  <c r="C461" i="1"/>
  <c r="S461" i="1"/>
  <c r="T461" i="1"/>
  <c r="U461" i="1"/>
  <c r="BB461" i="1"/>
  <c r="BD461" i="1"/>
  <c r="CE461" i="1"/>
  <c r="A462" i="1"/>
  <c r="C462" i="1"/>
  <c r="S462" i="1"/>
  <c r="T462" i="1"/>
  <c r="U462" i="1"/>
  <c r="BB462" i="1"/>
  <c r="BD462" i="1"/>
  <c r="CE462" i="1"/>
  <c r="A463" i="1"/>
  <c r="C463" i="1"/>
  <c r="S463" i="1"/>
  <c r="T463" i="1"/>
  <c r="U463" i="1"/>
  <c r="BB463" i="1"/>
  <c r="BD463" i="1"/>
  <c r="CE463" i="1"/>
  <c r="A464" i="1"/>
  <c r="C464" i="1"/>
  <c r="S464" i="1"/>
  <c r="T464" i="1"/>
  <c r="U464" i="1"/>
  <c r="BB464" i="1"/>
  <c r="BD464" i="1"/>
  <c r="CE464" i="1"/>
  <c r="A465" i="1"/>
  <c r="C465" i="1"/>
  <c r="S465" i="1"/>
  <c r="T465" i="1"/>
  <c r="U465" i="1"/>
  <c r="BB465" i="1"/>
  <c r="BD465" i="1"/>
  <c r="CE465" i="1"/>
  <c r="A466" i="1"/>
  <c r="C466" i="1"/>
  <c r="S466" i="1"/>
  <c r="T466" i="1"/>
  <c r="U466" i="1"/>
  <c r="BB466" i="1"/>
  <c r="BD466" i="1"/>
  <c r="CE466" i="1"/>
  <c r="A467" i="1"/>
  <c r="C467" i="1"/>
  <c r="S467" i="1"/>
  <c r="T467" i="1"/>
  <c r="U467" i="1"/>
  <c r="BB467" i="1"/>
  <c r="BD467" i="1"/>
  <c r="CE467" i="1"/>
  <c r="A468" i="1"/>
  <c r="C468" i="1"/>
  <c r="S468" i="1"/>
  <c r="T468" i="1"/>
  <c r="U468" i="1"/>
  <c r="BB468" i="1"/>
  <c r="BD468" i="1"/>
  <c r="CE468" i="1"/>
  <c r="A469" i="1"/>
  <c r="C469" i="1"/>
  <c r="S469" i="1"/>
  <c r="T469" i="1"/>
  <c r="U469" i="1"/>
  <c r="BB469" i="1"/>
  <c r="BD469" i="1"/>
  <c r="CE469" i="1"/>
  <c r="A470" i="1"/>
  <c r="C470" i="1"/>
  <c r="S470" i="1"/>
  <c r="T470" i="1"/>
  <c r="U470" i="1"/>
  <c r="BB470" i="1"/>
  <c r="BD470" i="1"/>
  <c r="CE470" i="1"/>
  <c r="A471" i="1"/>
  <c r="C471" i="1"/>
  <c r="S471" i="1"/>
  <c r="T471" i="1"/>
  <c r="U471" i="1"/>
  <c r="BB471" i="1"/>
  <c r="BD471" i="1"/>
  <c r="CE471" i="1"/>
  <c r="A472" i="1"/>
  <c r="C472" i="1"/>
  <c r="S472" i="1"/>
  <c r="T472" i="1"/>
  <c r="U472" i="1"/>
  <c r="BB472" i="1"/>
  <c r="BD472" i="1"/>
  <c r="CE472" i="1"/>
  <c r="A473" i="1"/>
  <c r="C473" i="1"/>
  <c r="S473" i="1"/>
  <c r="T473" i="1"/>
  <c r="U473" i="1"/>
  <c r="BB473" i="1"/>
  <c r="BD473" i="1"/>
  <c r="CE473" i="1"/>
  <c r="A474" i="1"/>
  <c r="C474" i="1"/>
  <c r="S474" i="1"/>
  <c r="T474" i="1"/>
  <c r="U474" i="1"/>
  <c r="BB474" i="1"/>
  <c r="BD474" i="1"/>
  <c r="CE474" i="1"/>
  <c r="A475" i="1"/>
  <c r="C475" i="1"/>
  <c r="S475" i="1"/>
  <c r="T475" i="1"/>
  <c r="U475" i="1"/>
  <c r="BB475" i="1"/>
  <c r="BD475" i="1"/>
  <c r="CE475" i="1"/>
  <c r="A476" i="1"/>
  <c r="C476" i="1"/>
  <c r="S476" i="1"/>
  <c r="T476" i="1"/>
  <c r="U476" i="1"/>
  <c r="BB476" i="1"/>
  <c r="BD476" i="1"/>
  <c r="CE476" i="1"/>
  <c r="A477" i="1"/>
  <c r="C477" i="1"/>
  <c r="S477" i="1"/>
  <c r="T477" i="1"/>
  <c r="U477" i="1"/>
  <c r="BB477" i="1"/>
  <c r="BD477" i="1"/>
  <c r="CE477" i="1"/>
  <c r="A478" i="1"/>
  <c r="C478" i="1"/>
  <c r="S478" i="1"/>
  <c r="T478" i="1"/>
  <c r="U478" i="1"/>
  <c r="BB478" i="1"/>
  <c r="BD478" i="1"/>
  <c r="CE478" i="1"/>
  <c r="A479" i="1"/>
  <c r="C479" i="1"/>
  <c r="S479" i="1"/>
  <c r="T479" i="1"/>
  <c r="U479" i="1"/>
  <c r="BB479" i="1"/>
  <c r="BD479" i="1"/>
  <c r="CE479" i="1"/>
  <c r="A480" i="1"/>
  <c r="C480" i="1"/>
  <c r="S480" i="1"/>
  <c r="T480" i="1"/>
  <c r="U480" i="1"/>
  <c r="BB480" i="1"/>
  <c r="BD480" i="1"/>
  <c r="CE480" i="1"/>
  <c r="A481" i="1"/>
  <c r="C481" i="1"/>
  <c r="S481" i="1"/>
  <c r="T481" i="1"/>
  <c r="U481" i="1"/>
  <c r="BB481" i="1"/>
  <c r="BD481" i="1"/>
  <c r="CE481" i="1"/>
  <c r="A482" i="1"/>
  <c r="C482" i="1"/>
  <c r="S482" i="1"/>
  <c r="T482" i="1"/>
  <c r="U482" i="1"/>
  <c r="BB482" i="1"/>
  <c r="BD482" i="1"/>
  <c r="CE482" i="1"/>
  <c r="A483" i="1"/>
  <c r="C483" i="1"/>
  <c r="S483" i="1"/>
  <c r="T483" i="1"/>
  <c r="U483" i="1"/>
  <c r="BB483" i="1"/>
  <c r="BD483" i="1"/>
  <c r="CE483" i="1"/>
  <c r="A484" i="1"/>
  <c r="C484" i="1"/>
  <c r="S484" i="1"/>
  <c r="T484" i="1"/>
  <c r="U484" i="1"/>
  <c r="BB484" i="1"/>
  <c r="BD484" i="1"/>
  <c r="CE484" i="1"/>
  <c r="A485" i="1"/>
  <c r="C485" i="1"/>
  <c r="S485" i="1"/>
  <c r="T485" i="1"/>
  <c r="U485" i="1"/>
  <c r="BB485" i="1"/>
  <c r="BD485" i="1"/>
  <c r="CE485" i="1"/>
  <c r="A486" i="1"/>
  <c r="C486" i="1"/>
  <c r="S486" i="1"/>
  <c r="T486" i="1"/>
  <c r="U486" i="1"/>
  <c r="BB486" i="1"/>
  <c r="BD486" i="1"/>
  <c r="CE486" i="1"/>
  <c r="A487" i="1"/>
  <c r="C487" i="1"/>
  <c r="S487" i="1"/>
  <c r="T487" i="1"/>
  <c r="U487" i="1"/>
  <c r="BB487" i="1"/>
  <c r="BD487" i="1"/>
  <c r="CE487" i="1"/>
  <c r="A488" i="1"/>
  <c r="C488" i="1"/>
  <c r="S488" i="1"/>
  <c r="T488" i="1"/>
  <c r="U488" i="1"/>
  <c r="BB488" i="1"/>
  <c r="BD488" i="1"/>
  <c r="CE488" i="1"/>
  <c r="A489" i="1"/>
  <c r="C489" i="1"/>
  <c r="S489" i="1"/>
  <c r="T489" i="1"/>
  <c r="U489" i="1"/>
  <c r="BB489" i="1"/>
  <c r="BD489" i="1"/>
  <c r="CE489" i="1"/>
  <c r="A490" i="1"/>
  <c r="C490" i="1"/>
  <c r="S490" i="1"/>
  <c r="T490" i="1"/>
  <c r="U490" i="1"/>
  <c r="BB490" i="1"/>
  <c r="BD490" i="1"/>
  <c r="CE490" i="1"/>
  <c r="A491" i="1"/>
  <c r="C491" i="1"/>
  <c r="S491" i="1"/>
  <c r="T491" i="1"/>
  <c r="U491" i="1"/>
  <c r="BB491" i="1"/>
  <c r="BD491" i="1"/>
  <c r="CE491" i="1"/>
  <c r="A492" i="1"/>
  <c r="C492" i="1"/>
  <c r="S492" i="1"/>
  <c r="T492" i="1"/>
  <c r="U492" i="1"/>
  <c r="BB492" i="1"/>
  <c r="BD492" i="1"/>
  <c r="CE492" i="1"/>
  <c r="A493" i="1"/>
  <c r="C493" i="1"/>
  <c r="S493" i="1"/>
  <c r="T493" i="1"/>
  <c r="U493" i="1"/>
  <c r="BB493" i="1"/>
  <c r="BD493" i="1"/>
  <c r="CE493" i="1"/>
  <c r="A494" i="1"/>
  <c r="C494" i="1"/>
  <c r="S494" i="1"/>
  <c r="T494" i="1"/>
  <c r="U494" i="1"/>
  <c r="BB494" i="1"/>
  <c r="BD494" i="1"/>
  <c r="CE494" i="1"/>
  <c r="A495" i="1"/>
  <c r="C495" i="1"/>
  <c r="S495" i="1"/>
  <c r="T495" i="1"/>
  <c r="U495" i="1"/>
  <c r="BB495" i="1"/>
  <c r="BD495" i="1"/>
  <c r="CE495" i="1"/>
  <c r="A496" i="1"/>
  <c r="C496" i="1"/>
  <c r="S496" i="1"/>
  <c r="T496" i="1"/>
  <c r="U496" i="1"/>
  <c r="BB496" i="1"/>
  <c r="BD496" i="1"/>
  <c r="CE496" i="1"/>
  <c r="A497" i="1"/>
  <c r="C497" i="1"/>
  <c r="S497" i="1"/>
  <c r="T497" i="1"/>
  <c r="U497" i="1"/>
  <c r="BB497" i="1"/>
  <c r="BD497" i="1"/>
  <c r="CE497" i="1"/>
  <c r="A498" i="1"/>
  <c r="C498" i="1"/>
  <c r="S498" i="1"/>
  <c r="T498" i="1"/>
  <c r="U498" i="1"/>
  <c r="BB498" i="1"/>
  <c r="BD498" i="1"/>
  <c r="CE498" i="1"/>
  <c r="A499" i="1"/>
  <c r="C499" i="1"/>
  <c r="S499" i="1"/>
  <c r="T499" i="1"/>
  <c r="U499" i="1"/>
  <c r="BB499" i="1"/>
  <c r="BD499" i="1"/>
  <c r="CE499" i="1"/>
  <c r="A500" i="1"/>
  <c r="C500" i="1"/>
  <c r="S500" i="1"/>
  <c r="T500" i="1"/>
  <c r="U500" i="1"/>
  <c r="BB500" i="1"/>
  <c r="BD500" i="1"/>
  <c r="CE500" i="1"/>
  <c r="A501" i="1"/>
  <c r="C501" i="1"/>
  <c r="S501" i="1"/>
  <c r="T501" i="1"/>
  <c r="U501" i="1"/>
  <c r="BB501" i="1"/>
  <c r="BD501" i="1"/>
  <c r="CE501" i="1"/>
  <c r="A502" i="1"/>
  <c r="C502" i="1"/>
  <c r="S502" i="1"/>
  <c r="T502" i="1"/>
  <c r="U502" i="1"/>
  <c r="BB502" i="1"/>
  <c r="BD502" i="1"/>
  <c r="CE502" i="1"/>
  <c r="A503" i="1"/>
  <c r="C503" i="1"/>
  <c r="S503" i="1"/>
  <c r="T503" i="1"/>
  <c r="U503" i="1"/>
  <c r="BB503" i="1"/>
  <c r="BD503" i="1"/>
  <c r="CE503" i="1"/>
  <c r="A504" i="1"/>
  <c r="C504" i="1"/>
  <c r="S504" i="1"/>
  <c r="T504" i="1"/>
  <c r="U504" i="1"/>
  <c r="BB504" i="1"/>
  <c r="BD504" i="1"/>
  <c r="CE504" i="1"/>
  <c r="A505" i="1"/>
  <c r="C505" i="1"/>
  <c r="S505" i="1"/>
  <c r="T505" i="1"/>
  <c r="U505" i="1"/>
  <c r="BB505" i="1"/>
  <c r="BD505" i="1"/>
  <c r="CE505" i="1"/>
  <c r="A506" i="1"/>
  <c r="C506" i="1"/>
  <c r="S506" i="1"/>
  <c r="T506" i="1"/>
  <c r="U506" i="1"/>
  <c r="BB506" i="1"/>
  <c r="BD506" i="1"/>
  <c r="CE506" i="1"/>
  <c r="A507" i="1"/>
  <c r="C507" i="1"/>
  <c r="S507" i="1"/>
  <c r="T507" i="1"/>
  <c r="U507" i="1"/>
  <c r="BB507" i="1"/>
  <c r="BD507" i="1"/>
  <c r="CE507" i="1"/>
  <c r="A508" i="1"/>
  <c r="C508" i="1"/>
  <c r="S508" i="1"/>
  <c r="T508" i="1"/>
  <c r="U508" i="1"/>
  <c r="BB508" i="1"/>
  <c r="BD508" i="1"/>
  <c r="CE508" i="1"/>
  <c r="A509" i="1"/>
  <c r="C509" i="1"/>
  <c r="S509" i="1"/>
  <c r="T509" i="1"/>
  <c r="U509" i="1"/>
  <c r="BB509" i="1"/>
  <c r="BD509" i="1"/>
  <c r="CE509" i="1"/>
  <c r="A510" i="1"/>
  <c r="C510" i="1"/>
  <c r="S510" i="1"/>
  <c r="T510" i="1"/>
  <c r="U510" i="1"/>
  <c r="BB510" i="1"/>
  <c r="BD510" i="1"/>
  <c r="CE510" i="1"/>
  <c r="A511" i="1"/>
  <c r="C511" i="1"/>
  <c r="S511" i="1"/>
  <c r="T511" i="1"/>
  <c r="U511" i="1"/>
  <c r="BB511" i="1"/>
  <c r="BD511" i="1"/>
  <c r="CE511" i="1"/>
  <c r="A512" i="1"/>
  <c r="C512" i="1"/>
  <c r="S512" i="1"/>
  <c r="T512" i="1"/>
  <c r="U512" i="1"/>
  <c r="BB512" i="1"/>
  <c r="BD512" i="1"/>
  <c r="CE512" i="1"/>
  <c r="A513" i="1"/>
  <c r="C513" i="1"/>
  <c r="S513" i="1"/>
  <c r="T513" i="1"/>
  <c r="U513" i="1"/>
  <c r="BB513" i="1"/>
  <c r="BD513" i="1"/>
  <c r="CE513" i="1"/>
  <c r="A514" i="1"/>
  <c r="C514" i="1"/>
  <c r="S514" i="1"/>
  <c r="T514" i="1"/>
  <c r="U514" i="1"/>
  <c r="BB514" i="1"/>
  <c r="BD514" i="1"/>
  <c r="CE514" i="1"/>
  <c r="A515" i="1"/>
  <c r="C515" i="1"/>
  <c r="S515" i="1"/>
  <c r="T515" i="1"/>
  <c r="U515" i="1"/>
  <c r="BB515" i="1"/>
  <c r="BD515" i="1"/>
  <c r="CE515" i="1"/>
  <c r="A516" i="1"/>
  <c r="C516" i="1"/>
  <c r="S516" i="1"/>
  <c r="T516" i="1"/>
  <c r="U516" i="1"/>
  <c r="BB516" i="1"/>
  <c r="BD516" i="1"/>
  <c r="CE516" i="1"/>
  <c r="A517" i="1"/>
  <c r="C517" i="1"/>
  <c r="S517" i="1"/>
  <c r="T517" i="1"/>
  <c r="U517" i="1"/>
  <c r="BB517" i="1"/>
  <c r="BD517" i="1"/>
  <c r="CE517" i="1"/>
  <c r="A518" i="1"/>
  <c r="C518" i="1"/>
  <c r="S518" i="1"/>
  <c r="T518" i="1"/>
  <c r="U518" i="1"/>
  <c r="BB518" i="1"/>
  <c r="BD518" i="1"/>
  <c r="CE518" i="1"/>
  <c r="A519" i="1"/>
  <c r="C519" i="1"/>
  <c r="S519" i="1"/>
  <c r="T519" i="1"/>
  <c r="U519" i="1"/>
  <c r="BB519" i="1"/>
  <c r="BD519" i="1"/>
  <c r="CE519" i="1"/>
  <c r="A520" i="1"/>
  <c r="C520" i="1"/>
  <c r="S520" i="1"/>
  <c r="T520" i="1"/>
  <c r="U520" i="1"/>
  <c r="BB520" i="1"/>
  <c r="BD520" i="1"/>
  <c r="CE520" i="1"/>
  <c r="A521" i="1"/>
  <c r="C521" i="1"/>
  <c r="S521" i="1"/>
  <c r="T521" i="1"/>
  <c r="U521" i="1"/>
  <c r="BB521" i="1"/>
  <c r="BD521" i="1"/>
  <c r="CE521" i="1"/>
  <c r="A522" i="1"/>
  <c r="C522" i="1"/>
  <c r="S522" i="1"/>
  <c r="T522" i="1"/>
  <c r="U522" i="1"/>
  <c r="BB522" i="1"/>
  <c r="BD522" i="1"/>
  <c r="CE522" i="1"/>
  <c r="A523" i="1"/>
  <c r="C523" i="1"/>
  <c r="S523" i="1"/>
  <c r="T523" i="1"/>
  <c r="U523" i="1"/>
  <c r="BB523" i="1"/>
  <c r="BD523" i="1"/>
  <c r="CE523" i="1"/>
  <c r="A524" i="1"/>
  <c r="C524" i="1"/>
  <c r="S524" i="1"/>
  <c r="T524" i="1"/>
  <c r="U524" i="1"/>
  <c r="BB524" i="1"/>
  <c r="BD524" i="1"/>
  <c r="CE524" i="1"/>
  <c r="A525" i="1"/>
  <c r="C525" i="1"/>
  <c r="S525" i="1"/>
  <c r="T525" i="1"/>
  <c r="U525" i="1"/>
  <c r="BB525" i="1"/>
  <c r="BD525" i="1"/>
  <c r="CE525" i="1"/>
  <c r="A526" i="1"/>
  <c r="C526" i="1"/>
  <c r="S526" i="1"/>
  <c r="T526" i="1"/>
  <c r="U526" i="1"/>
  <c r="BB526" i="1"/>
  <c r="BD526" i="1"/>
  <c r="CE526" i="1"/>
  <c r="A527" i="1"/>
  <c r="C527" i="1"/>
  <c r="S527" i="1"/>
  <c r="T527" i="1"/>
  <c r="U527" i="1"/>
  <c r="BB527" i="1"/>
  <c r="BD527" i="1"/>
  <c r="CE527" i="1"/>
  <c r="A528" i="1"/>
  <c r="C528" i="1"/>
  <c r="S528" i="1"/>
  <c r="T528" i="1"/>
  <c r="U528" i="1"/>
  <c r="BB528" i="1"/>
  <c r="BD528" i="1"/>
  <c r="CE528" i="1"/>
  <c r="A529" i="1"/>
  <c r="C529" i="1"/>
  <c r="S529" i="1"/>
  <c r="T529" i="1"/>
  <c r="U529" i="1"/>
  <c r="BB529" i="1"/>
  <c r="BD529" i="1"/>
  <c r="CE529" i="1"/>
  <c r="A530" i="1"/>
  <c r="C530" i="1"/>
  <c r="S530" i="1"/>
  <c r="T530" i="1"/>
  <c r="U530" i="1"/>
  <c r="BB530" i="1"/>
  <c r="BD530" i="1"/>
  <c r="CE530" i="1"/>
  <c r="A531" i="1"/>
  <c r="C531" i="1"/>
  <c r="S531" i="1"/>
  <c r="T531" i="1"/>
  <c r="U531" i="1"/>
  <c r="BB531" i="1"/>
  <c r="BD531" i="1"/>
  <c r="CE531" i="1"/>
  <c r="A532" i="1"/>
  <c r="C532" i="1"/>
  <c r="S532" i="1"/>
  <c r="T532" i="1"/>
  <c r="U532" i="1"/>
  <c r="BB532" i="1"/>
  <c r="BD532" i="1"/>
  <c r="CE532" i="1"/>
  <c r="A533" i="1"/>
  <c r="C533" i="1"/>
  <c r="S533" i="1"/>
  <c r="T533" i="1"/>
  <c r="U533" i="1"/>
  <c r="BB533" i="1"/>
  <c r="BD533" i="1"/>
  <c r="CE533" i="1"/>
  <c r="A534" i="1"/>
  <c r="C534" i="1"/>
  <c r="S534" i="1"/>
  <c r="T534" i="1"/>
  <c r="U534" i="1"/>
  <c r="BB534" i="1"/>
  <c r="BD534" i="1"/>
  <c r="CE534" i="1"/>
  <c r="A535" i="1"/>
  <c r="C535" i="1"/>
  <c r="S535" i="1"/>
  <c r="T535" i="1"/>
  <c r="U535" i="1"/>
  <c r="BB535" i="1"/>
  <c r="BD535" i="1"/>
  <c r="CE535" i="1"/>
  <c r="A536" i="1"/>
  <c r="C536" i="1"/>
  <c r="S536" i="1"/>
  <c r="T536" i="1"/>
  <c r="U536" i="1"/>
  <c r="BB536" i="1"/>
  <c r="BD536" i="1"/>
  <c r="CE536" i="1"/>
  <c r="A537" i="1"/>
  <c r="C537" i="1"/>
  <c r="S537" i="1"/>
  <c r="T537" i="1"/>
  <c r="U537" i="1"/>
  <c r="BB537" i="1"/>
  <c r="BD537" i="1"/>
  <c r="CE537" i="1"/>
  <c r="A538" i="1"/>
  <c r="C538" i="1"/>
  <c r="S538" i="1"/>
  <c r="T538" i="1"/>
  <c r="U538" i="1"/>
  <c r="BB538" i="1"/>
  <c r="BD538" i="1"/>
  <c r="CE538" i="1"/>
  <c r="A539" i="1"/>
  <c r="C539" i="1"/>
  <c r="S539" i="1"/>
  <c r="T539" i="1"/>
  <c r="U539" i="1"/>
  <c r="BB539" i="1"/>
  <c r="BD539" i="1"/>
  <c r="CE539" i="1"/>
  <c r="A540" i="1"/>
  <c r="C540" i="1"/>
  <c r="S540" i="1"/>
  <c r="T540" i="1"/>
  <c r="U540" i="1"/>
  <c r="BB540" i="1"/>
  <c r="BD540" i="1"/>
  <c r="CE540" i="1"/>
  <c r="A541" i="1"/>
  <c r="C541" i="1"/>
  <c r="S541" i="1"/>
  <c r="T541" i="1"/>
  <c r="U541" i="1"/>
  <c r="BB541" i="1"/>
  <c r="BD541" i="1"/>
  <c r="CE541" i="1"/>
  <c r="A542" i="1"/>
  <c r="C542" i="1"/>
  <c r="S542" i="1"/>
  <c r="T542" i="1"/>
  <c r="U542" i="1"/>
  <c r="BB542" i="1"/>
  <c r="BD542" i="1"/>
  <c r="CE542" i="1"/>
  <c r="A543" i="1"/>
  <c r="C543" i="1"/>
  <c r="S543" i="1"/>
  <c r="T543" i="1"/>
  <c r="U543" i="1"/>
  <c r="BB543" i="1"/>
  <c r="BD543" i="1"/>
  <c r="CE543" i="1"/>
  <c r="A544" i="1"/>
  <c r="C544" i="1"/>
  <c r="S544" i="1"/>
  <c r="T544" i="1"/>
  <c r="U544" i="1"/>
  <c r="BB544" i="1"/>
  <c r="BD544" i="1"/>
  <c r="CE544" i="1"/>
  <c r="A545" i="1"/>
  <c r="C545" i="1"/>
  <c r="S545" i="1"/>
  <c r="T545" i="1"/>
  <c r="U545" i="1"/>
  <c r="BB545" i="1"/>
  <c r="BD545" i="1"/>
  <c r="CE545" i="1"/>
  <c r="A546" i="1"/>
  <c r="C546" i="1"/>
  <c r="S546" i="1"/>
  <c r="T546" i="1"/>
  <c r="U546" i="1"/>
  <c r="BB546" i="1"/>
  <c r="BD546" i="1"/>
  <c r="CE546" i="1"/>
  <c r="A547" i="1"/>
  <c r="C547" i="1"/>
  <c r="S547" i="1"/>
  <c r="T547" i="1"/>
  <c r="U547" i="1"/>
  <c r="BB547" i="1"/>
  <c r="BD547" i="1"/>
  <c r="CE547" i="1"/>
  <c r="A548" i="1"/>
  <c r="C548" i="1"/>
  <c r="S548" i="1"/>
  <c r="T548" i="1"/>
  <c r="U548" i="1"/>
  <c r="BB548" i="1"/>
  <c r="BD548" i="1"/>
  <c r="CE548" i="1"/>
  <c r="A549" i="1"/>
  <c r="C549" i="1"/>
  <c r="S549" i="1"/>
  <c r="T549" i="1"/>
  <c r="U549" i="1"/>
  <c r="BB549" i="1"/>
  <c r="BD549" i="1"/>
  <c r="CE549" i="1"/>
  <c r="A550" i="1"/>
  <c r="C550" i="1"/>
  <c r="S550" i="1"/>
  <c r="T550" i="1"/>
  <c r="U550" i="1"/>
  <c r="BB550" i="1"/>
  <c r="BD550" i="1"/>
  <c r="CE550" i="1"/>
  <c r="A551" i="1"/>
  <c r="C551" i="1"/>
  <c r="S551" i="1"/>
  <c r="T551" i="1"/>
  <c r="U551" i="1"/>
  <c r="BB551" i="1"/>
  <c r="BD551" i="1"/>
  <c r="CE551" i="1"/>
  <c r="A552" i="1"/>
  <c r="C552" i="1"/>
  <c r="S552" i="1"/>
  <c r="T552" i="1"/>
  <c r="U552" i="1"/>
  <c r="BB552" i="1"/>
  <c r="BD552" i="1"/>
  <c r="CE552" i="1"/>
  <c r="A553" i="1"/>
  <c r="C553" i="1"/>
  <c r="S553" i="1"/>
  <c r="T553" i="1"/>
  <c r="U553" i="1"/>
  <c r="BB553" i="1"/>
  <c r="BD553" i="1"/>
  <c r="CE553" i="1"/>
  <c r="A554" i="1"/>
  <c r="C554" i="1"/>
  <c r="S554" i="1"/>
  <c r="T554" i="1"/>
  <c r="U554" i="1"/>
  <c r="BB554" i="1"/>
  <c r="BD554" i="1"/>
  <c r="CE554" i="1"/>
  <c r="A555" i="1"/>
  <c r="C555" i="1"/>
  <c r="S555" i="1"/>
  <c r="T555" i="1"/>
  <c r="U555" i="1"/>
  <c r="BB555" i="1"/>
  <c r="BD555" i="1"/>
  <c r="CE555" i="1"/>
  <c r="A556" i="1"/>
  <c r="C556" i="1"/>
  <c r="S556" i="1"/>
  <c r="T556" i="1"/>
  <c r="U556" i="1"/>
  <c r="BB556" i="1"/>
  <c r="BD556" i="1"/>
  <c r="CE556" i="1"/>
  <c r="A557" i="1"/>
  <c r="C557" i="1"/>
  <c r="S557" i="1"/>
  <c r="T557" i="1"/>
  <c r="U557" i="1"/>
  <c r="BB557" i="1"/>
  <c r="BD557" i="1"/>
  <c r="CE557" i="1"/>
  <c r="A558" i="1"/>
  <c r="C558" i="1"/>
  <c r="S558" i="1"/>
  <c r="T558" i="1"/>
  <c r="U558" i="1"/>
  <c r="BB558" i="1"/>
  <c r="BD558" i="1"/>
  <c r="CE558" i="1"/>
  <c r="A559" i="1"/>
  <c r="C559" i="1"/>
  <c r="S559" i="1"/>
  <c r="T559" i="1"/>
  <c r="U559" i="1"/>
  <c r="BB559" i="1"/>
  <c r="BD559" i="1"/>
  <c r="CE559" i="1"/>
  <c r="A560" i="1"/>
  <c r="C560" i="1"/>
  <c r="S560" i="1"/>
  <c r="T560" i="1"/>
  <c r="U560" i="1"/>
  <c r="BB560" i="1"/>
  <c r="BD560" i="1"/>
  <c r="CE560" i="1"/>
  <c r="A561" i="1"/>
  <c r="C561" i="1"/>
  <c r="S561" i="1"/>
  <c r="T561" i="1"/>
  <c r="U561" i="1"/>
  <c r="BB561" i="1"/>
  <c r="BD561" i="1"/>
  <c r="CE561" i="1"/>
  <c r="A562" i="1"/>
  <c r="C562" i="1"/>
  <c r="S562" i="1"/>
  <c r="T562" i="1"/>
  <c r="U562" i="1"/>
  <c r="BB562" i="1"/>
  <c r="BD562" i="1"/>
  <c r="CE562" i="1"/>
  <c r="A563" i="1"/>
  <c r="C563" i="1"/>
  <c r="S563" i="1"/>
  <c r="T563" i="1"/>
  <c r="U563" i="1"/>
  <c r="BB563" i="1"/>
  <c r="BD563" i="1"/>
  <c r="CE563" i="1"/>
  <c r="A564" i="1"/>
  <c r="C564" i="1"/>
  <c r="S564" i="1"/>
  <c r="T564" i="1"/>
  <c r="U564" i="1"/>
  <c r="BB564" i="1"/>
  <c r="BD564" i="1"/>
  <c r="CE564" i="1"/>
  <c r="A565" i="1"/>
  <c r="C565" i="1"/>
  <c r="S565" i="1"/>
  <c r="T565" i="1"/>
  <c r="U565" i="1"/>
  <c r="BB565" i="1"/>
  <c r="BD565" i="1"/>
  <c r="CE565" i="1"/>
  <c r="A566" i="1"/>
  <c r="C566" i="1"/>
  <c r="S566" i="1"/>
  <c r="T566" i="1"/>
  <c r="U566" i="1"/>
  <c r="BB566" i="1"/>
  <c r="BD566" i="1"/>
  <c r="CE566" i="1"/>
  <c r="A567" i="1"/>
  <c r="C567" i="1"/>
  <c r="S567" i="1"/>
  <c r="T567" i="1"/>
  <c r="U567" i="1"/>
  <c r="BB567" i="1"/>
  <c r="BD567" i="1"/>
  <c r="CE567" i="1"/>
  <c r="A568" i="1"/>
  <c r="C568" i="1"/>
  <c r="S568" i="1"/>
  <c r="T568" i="1"/>
  <c r="U568" i="1"/>
  <c r="BB568" i="1"/>
  <c r="BD568" i="1"/>
  <c r="CE568" i="1"/>
  <c r="A569" i="1"/>
  <c r="C569" i="1"/>
  <c r="S569" i="1"/>
  <c r="T569" i="1"/>
  <c r="U569" i="1"/>
  <c r="BB569" i="1"/>
  <c r="BD569" i="1"/>
  <c r="CE569" i="1"/>
  <c r="A570" i="1"/>
  <c r="C570" i="1"/>
  <c r="S570" i="1"/>
  <c r="T570" i="1"/>
  <c r="U570" i="1"/>
  <c r="BB570" i="1"/>
  <c r="BD570" i="1"/>
  <c r="CE570" i="1"/>
  <c r="A571" i="1"/>
  <c r="C571" i="1"/>
  <c r="S571" i="1"/>
  <c r="T571" i="1"/>
  <c r="U571" i="1"/>
  <c r="BB571" i="1"/>
  <c r="BD571" i="1"/>
  <c r="CE571" i="1"/>
  <c r="A572" i="1"/>
  <c r="C572" i="1"/>
  <c r="S572" i="1"/>
  <c r="T572" i="1"/>
  <c r="U572" i="1"/>
  <c r="BB572" i="1"/>
  <c r="BD572" i="1"/>
  <c r="CE572" i="1"/>
  <c r="A573" i="1"/>
  <c r="C573" i="1"/>
  <c r="S573" i="1"/>
  <c r="T573" i="1"/>
  <c r="U573" i="1"/>
  <c r="BB573" i="1"/>
  <c r="BD573" i="1"/>
  <c r="CE573" i="1"/>
  <c r="A574" i="1"/>
  <c r="C574" i="1"/>
  <c r="S574" i="1"/>
  <c r="T574" i="1"/>
  <c r="U574" i="1"/>
  <c r="BB574" i="1"/>
  <c r="BD574" i="1"/>
  <c r="CE574" i="1"/>
  <c r="A575" i="1"/>
  <c r="C575" i="1"/>
  <c r="S575" i="1"/>
  <c r="T575" i="1"/>
  <c r="U575" i="1"/>
  <c r="BB575" i="1"/>
  <c r="BD575" i="1"/>
  <c r="CE575" i="1"/>
  <c r="A576" i="1"/>
  <c r="C576" i="1"/>
  <c r="S576" i="1"/>
  <c r="T576" i="1"/>
  <c r="U576" i="1"/>
  <c r="BB576" i="1"/>
  <c r="BD576" i="1"/>
  <c r="CE576" i="1"/>
  <c r="A577" i="1"/>
  <c r="C577" i="1"/>
  <c r="S577" i="1"/>
  <c r="T577" i="1"/>
  <c r="U577" i="1"/>
  <c r="BB577" i="1"/>
  <c r="BD577" i="1"/>
  <c r="CE577" i="1"/>
  <c r="A578" i="1"/>
  <c r="C578" i="1"/>
  <c r="S578" i="1"/>
  <c r="T578" i="1"/>
  <c r="U578" i="1"/>
  <c r="BB578" i="1"/>
  <c r="BD578" i="1"/>
  <c r="CE578" i="1"/>
  <c r="A579" i="1"/>
  <c r="C579" i="1"/>
  <c r="S579" i="1"/>
  <c r="T579" i="1"/>
  <c r="U579" i="1"/>
  <c r="BB579" i="1"/>
  <c r="BD579" i="1"/>
  <c r="CE579" i="1"/>
  <c r="A580" i="1"/>
  <c r="C580" i="1"/>
  <c r="S580" i="1"/>
  <c r="T580" i="1"/>
  <c r="U580" i="1"/>
  <c r="BB580" i="1"/>
  <c r="BD580" i="1"/>
  <c r="CE580" i="1"/>
  <c r="A581" i="1"/>
  <c r="C581" i="1"/>
  <c r="S581" i="1"/>
  <c r="T581" i="1"/>
  <c r="U581" i="1"/>
  <c r="BB581" i="1"/>
  <c r="BD581" i="1"/>
  <c r="CE581" i="1"/>
  <c r="A582" i="1"/>
  <c r="C582" i="1"/>
  <c r="S582" i="1"/>
  <c r="T582" i="1"/>
  <c r="U582" i="1"/>
  <c r="BB582" i="1"/>
  <c r="BD582" i="1"/>
  <c r="CE582" i="1"/>
  <c r="A583" i="1"/>
  <c r="C583" i="1"/>
  <c r="S583" i="1"/>
  <c r="T583" i="1"/>
  <c r="U583" i="1"/>
  <c r="BB583" i="1"/>
  <c r="BD583" i="1"/>
  <c r="CE583" i="1"/>
  <c r="A584" i="1"/>
  <c r="C584" i="1"/>
  <c r="S584" i="1"/>
  <c r="T584" i="1"/>
  <c r="U584" i="1"/>
  <c r="BB584" i="1"/>
  <c r="BD584" i="1"/>
  <c r="CE584" i="1"/>
  <c r="A585" i="1"/>
  <c r="C585" i="1"/>
  <c r="S585" i="1"/>
  <c r="T585" i="1"/>
  <c r="U585" i="1"/>
  <c r="BB585" i="1"/>
  <c r="BD585" i="1"/>
  <c r="CE585" i="1"/>
  <c r="A586" i="1"/>
  <c r="C586" i="1"/>
  <c r="S586" i="1"/>
  <c r="T586" i="1"/>
  <c r="U586" i="1"/>
  <c r="BB586" i="1"/>
  <c r="BD586" i="1"/>
  <c r="CE586" i="1"/>
  <c r="A587" i="1"/>
  <c r="C587" i="1"/>
  <c r="S587" i="1"/>
  <c r="T587" i="1"/>
  <c r="U587" i="1"/>
  <c r="BB587" i="1"/>
  <c r="BD587" i="1"/>
  <c r="CE587" i="1"/>
  <c r="A588" i="1"/>
  <c r="C588" i="1"/>
  <c r="S588" i="1"/>
  <c r="T588" i="1"/>
  <c r="U588" i="1"/>
  <c r="BB588" i="1"/>
  <c r="BD588" i="1"/>
  <c r="CE588" i="1"/>
  <c r="A589" i="1"/>
  <c r="C589" i="1"/>
  <c r="S589" i="1"/>
  <c r="T589" i="1"/>
  <c r="U589" i="1"/>
  <c r="BB589" i="1"/>
  <c r="BD589" i="1"/>
  <c r="CE589" i="1"/>
  <c r="A590" i="1"/>
  <c r="C590" i="1"/>
  <c r="S590" i="1"/>
  <c r="T590" i="1"/>
  <c r="U590" i="1"/>
  <c r="BB590" i="1"/>
  <c r="BD590" i="1"/>
  <c r="CE590" i="1"/>
  <c r="A591" i="1"/>
  <c r="C591" i="1"/>
  <c r="S591" i="1"/>
  <c r="T591" i="1"/>
  <c r="U591" i="1"/>
  <c r="BB591" i="1"/>
  <c r="BD591" i="1"/>
  <c r="CE591" i="1"/>
  <c r="A592" i="1"/>
  <c r="C592" i="1"/>
  <c r="S592" i="1"/>
  <c r="T592" i="1"/>
  <c r="U592" i="1"/>
  <c r="BB592" i="1"/>
  <c r="BD592" i="1"/>
  <c r="CE592" i="1"/>
  <c r="A593" i="1"/>
  <c r="C593" i="1"/>
  <c r="S593" i="1"/>
  <c r="T593" i="1"/>
  <c r="U593" i="1"/>
  <c r="BB593" i="1"/>
  <c r="BD593" i="1"/>
  <c r="CE593" i="1"/>
  <c r="A594" i="1"/>
  <c r="C594" i="1"/>
  <c r="S594" i="1"/>
  <c r="T594" i="1"/>
  <c r="U594" i="1"/>
  <c r="BB594" i="1"/>
  <c r="BD594" i="1"/>
  <c r="CE594" i="1"/>
  <c r="A595" i="1"/>
  <c r="C595" i="1"/>
  <c r="S595" i="1"/>
  <c r="T595" i="1"/>
  <c r="U595" i="1"/>
  <c r="BB595" i="1"/>
  <c r="BD595" i="1"/>
  <c r="CE595" i="1"/>
  <c r="A596" i="1"/>
  <c r="C596" i="1"/>
  <c r="S596" i="1"/>
  <c r="T596" i="1"/>
  <c r="U596" i="1"/>
  <c r="BB596" i="1"/>
  <c r="BD596" i="1"/>
  <c r="CE596" i="1"/>
  <c r="A597" i="1"/>
  <c r="C597" i="1"/>
  <c r="S597" i="1"/>
  <c r="T597" i="1"/>
  <c r="U597" i="1"/>
  <c r="BB597" i="1"/>
  <c r="BD597" i="1"/>
  <c r="CE597" i="1"/>
  <c r="A598" i="1"/>
  <c r="C598" i="1"/>
  <c r="S598" i="1"/>
  <c r="T598" i="1"/>
  <c r="U598" i="1"/>
  <c r="BB598" i="1"/>
  <c r="BD598" i="1"/>
  <c r="CE598" i="1"/>
  <c r="A599" i="1"/>
  <c r="C599" i="1"/>
  <c r="S599" i="1"/>
  <c r="T599" i="1"/>
  <c r="U599" i="1"/>
  <c r="BB599" i="1"/>
  <c r="BD599" i="1"/>
  <c r="CE599" i="1"/>
  <c r="A600" i="1"/>
  <c r="C600" i="1"/>
  <c r="S600" i="1"/>
  <c r="T600" i="1"/>
  <c r="U600" i="1"/>
  <c r="BB600" i="1"/>
  <c r="BD600" i="1"/>
  <c r="CE600" i="1"/>
  <c r="A601" i="1"/>
  <c r="C601" i="1"/>
  <c r="S601" i="1"/>
  <c r="T601" i="1"/>
  <c r="U601" i="1"/>
  <c r="BB601" i="1"/>
  <c r="BD601" i="1"/>
  <c r="CE601" i="1"/>
  <c r="A602" i="1"/>
  <c r="C602" i="1"/>
  <c r="S602" i="1"/>
  <c r="T602" i="1"/>
  <c r="U602" i="1"/>
  <c r="BB602" i="1"/>
  <c r="BD602" i="1"/>
  <c r="CE602" i="1"/>
  <c r="A603" i="1"/>
  <c r="C603" i="1"/>
  <c r="S603" i="1"/>
  <c r="T603" i="1"/>
  <c r="U603" i="1"/>
  <c r="BB603" i="1"/>
  <c r="BD603" i="1"/>
  <c r="CE603" i="1"/>
  <c r="A604" i="1"/>
  <c r="C604" i="1"/>
  <c r="S604" i="1"/>
  <c r="T604" i="1"/>
  <c r="U604" i="1"/>
  <c r="BB604" i="1"/>
  <c r="BD604" i="1"/>
  <c r="CE604" i="1"/>
  <c r="A605" i="1"/>
  <c r="C605" i="1"/>
  <c r="S605" i="1"/>
  <c r="T605" i="1"/>
  <c r="U605" i="1"/>
  <c r="BB605" i="1"/>
  <c r="BD605" i="1"/>
  <c r="CE605" i="1"/>
  <c r="A606" i="1"/>
  <c r="C606" i="1"/>
  <c r="S606" i="1"/>
  <c r="T606" i="1"/>
  <c r="U606" i="1"/>
  <c r="BB606" i="1"/>
  <c r="BD606" i="1"/>
  <c r="CE606" i="1"/>
  <c r="A607" i="1"/>
  <c r="C607" i="1"/>
  <c r="S607" i="1"/>
  <c r="T607" i="1"/>
  <c r="U607" i="1"/>
  <c r="BB607" i="1"/>
  <c r="BD607" i="1"/>
  <c r="CE607" i="1"/>
  <c r="A608" i="1"/>
  <c r="C608" i="1"/>
  <c r="S608" i="1"/>
  <c r="T608" i="1"/>
  <c r="U608" i="1"/>
  <c r="BB608" i="1"/>
  <c r="BD608" i="1"/>
  <c r="CE608" i="1"/>
  <c r="A609" i="1"/>
  <c r="C609" i="1"/>
  <c r="S609" i="1"/>
  <c r="T609" i="1"/>
  <c r="U609" i="1"/>
  <c r="BB609" i="1"/>
  <c r="BD609" i="1"/>
  <c r="CE609" i="1"/>
  <c r="A610" i="1"/>
  <c r="C610" i="1"/>
  <c r="S610" i="1"/>
  <c r="T610" i="1"/>
  <c r="U610" i="1"/>
  <c r="BB610" i="1"/>
  <c r="BD610" i="1"/>
  <c r="CE610" i="1"/>
  <c r="A611" i="1"/>
  <c r="C611" i="1"/>
  <c r="S611" i="1"/>
  <c r="T611" i="1"/>
  <c r="U611" i="1"/>
  <c r="BB611" i="1"/>
  <c r="BD611" i="1"/>
  <c r="CE611" i="1"/>
  <c r="A612" i="1"/>
  <c r="C612" i="1"/>
  <c r="S612" i="1"/>
  <c r="T612" i="1"/>
  <c r="U612" i="1"/>
  <c r="BB612" i="1"/>
  <c r="BD612" i="1"/>
  <c r="CE612" i="1"/>
  <c r="A613" i="1"/>
  <c r="C613" i="1"/>
  <c r="S613" i="1"/>
  <c r="T613" i="1"/>
  <c r="U613" i="1"/>
  <c r="BB613" i="1"/>
  <c r="BD613" i="1"/>
  <c r="CE613" i="1"/>
  <c r="A614" i="1"/>
  <c r="C614" i="1"/>
  <c r="S614" i="1"/>
  <c r="T614" i="1"/>
  <c r="U614" i="1"/>
  <c r="BB614" i="1"/>
  <c r="BD614" i="1"/>
  <c r="CE614" i="1"/>
  <c r="A615" i="1"/>
  <c r="C615" i="1"/>
  <c r="S615" i="1"/>
  <c r="T615" i="1"/>
  <c r="U615" i="1"/>
  <c r="BB615" i="1"/>
  <c r="BD615" i="1"/>
  <c r="CE615" i="1"/>
  <c r="A616" i="1"/>
  <c r="C616" i="1"/>
  <c r="S616" i="1"/>
  <c r="T616" i="1"/>
  <c r="U616" i="1"/>
  <c r="BB616" i="1"/>
  <c r="BD616" i="1"/>
  <c r="CE616" i="1"/>
  <c r="A617" i="1"/>
  <c r="C617" i="1"/>
  <c r="S617" i="1"/>
  <c r="T617" i="1"/>
  <c r="U617" i="1"/>
  <c r="BB617" i="1"/>
  <c r="BD617" i="1"/>
  <c r="CE617" i="1"/>
  <c r="A618" i="1"/>
  <c r="C618" i="1"/>
  <c r="S618" i="1"/>
  <c r="T618" i="1"/>
  <c r="U618" i="1"/>
  <c r="BB618" i="1"/>
  <c r="BD618" i="1"/>
  <c r="CE618" i="1"/>
  <c r="A619" i="1"/>
  <c r="C619" i="1"/>
  <c r="S619" i="1"/>
  <c r="T619" i="1"/>
  <c r="U619" i="1"/>
  <c r="BB619" i="1"/>
  <c r="BD619" i="1"/>
  <c r="CE619" i="1"/>
  <c r="A620" i="1"/>
  <c r="C620" i="1"/>
  <c r="S620" i="1"/>
  <c r="T620" i="1"/>
  <c r="U620" i="1"/>
  <c r="BB620" i="1"/>
  <c r="BD620" i="1"/>
  <c r="CE620" i="1"/>
  <c r="A621" i="1"/>
  <c r="C621" i="1"/>
  <c r="S621" i="1"/>
  <c r="T621" i="1"/>
  <c r="U621" i="1"/>
  <c r="BB621" i="1"/>
  <c r="BD621" i="1"/>
  <c r="CE621" i="1"/>
  <c r="A622" i="1"/>
  <c r="C622" i="1"/>
  <c r="S622" i="1"/>
  <c r="T622" i="1"/>
  <c r="U622" i="1"/>
  <c r="BB622" i="1"/>
  <c r="BD622" i="1"/>
  <c r="CE622" i="1"/>
  <c r="A623" i="1"/>
  <c r="C623" i="1"/>
  <c r="S623" i="1"/>
  <c r="T623" i="1"/>
  <c r="U623" i="1"/>
  <c r="BB623" i="1"/>
  <c r="BD623" i="1"/>
  <c r="CE623" i="1"/>
  <c r="A624" i="1"/>
  <c r="C624" i="1"/>
  <c r="S624" i="1"/>
  <c r="T624" i="1"/>
  <c r="U624" i="1"/>
  <c r="BB624" i="1"/>
  <c r="BD624" i="1"/>
  <c r="CE624" i="1"/>
  <c r="A625" i="1"/>
  <c r="C625" i="1"/>
  <c r="S625" i="1"/>
  <c r="T625" i="1"/>
  <c r="U625" i="1"/>
  <c r="BB625" i="1"/>
  <c r="BD625" i="1"/>
  <c r="CE625" i="1"/>
  <c r="A626" i="1"/>
  <c r="C626" i="1"/>
  <c r="S626" i="1"/>
  <c r="T626" i="1"/>
  <c r="U626" i="1"/>
  <c r="BB626" i="1"/>
  <c r="BD626" i="1"/>
  <c r="CE626" i="1"/>
  <c r="A627" i="1"/>
  <c r="C627" i="1"/>
  <c r="S627" i="1"/>
  <c r="T627" i="1"/>
  <c r="U627" i="1"/>
  <c r="BB627" i="1"/>
  <c r="BD627" i="1"/>
  <c r="CE627" i="1"/>
  <c r="A628" i="1"/>
  <c r="C628" i="1"/>
  <c r="S628" i="1"/>
  <c r="T628" i="1"/>
  <c r="U628" i="1"/>
  <c r="BB628" i="1"/>
  <c r="BD628" i="1"/>
  <c r="CE628" i="1"/>
  <c r="A629" i="1"/>
  <c r="C629" i="1"/>
  <c r="S629" i="1"/>
  <c r="T629" i="1"/>
  <c r="U629" i="1"/>
  <c r="BB629" i="1"/>
  <c r="BD629" i="1"/>
  <c r="CE629" i="1"/>
  <c r="A630" i="1"/>
  <c r="C630" i="1"/>
  <c r="S630" i="1"/>
  <c r="T630" i="1"/>
  <c r="U630" i="1"/>
  <c r="BB630" i="1"/>
  <c r="BD630" i="1"/>
  <c r="CE630" i="1"/>
  <c r="A631" i="1"/>
  <c r="C631" i="1"/>
  <c r="S631" i="1"/>
  <c r="T631" i="1"/>
  <c r="U631" i="1"/>
  <c r="BB631" i="1"/>
  <c r="BD631" i="1"/>
  <c r="CE631" i="1"/>
  <c r="A632" i="1"/>
  <c r="C632" i="1"/>
  <c r="S632" i="1"/>
  <c r="T632" i="1"/>
  <c r="U632" i="1"/>
  <c r="BB632" i="1"/>
  <c r="BD632" i="1"/>
  <c r="CE632" i="1"/>
  <c r="A633" i="1"/>
  <c r="C633" i="1"/>
  <c r="S633" i="1"/>
  <c r="T633" i="1"/>
  <c r="U633" i="1"/>
  <c r="BB633" i="1"/>
  <c r="BD633" i="1"/>
  <c r="CE633" i="1"/>
  <c r="A634" i="1"/>
  <c r="C634" i="1"/>
  <c r="S634" i="1"/>
  <c r="T634" i="1"/>
  <c r="U634" i="1"/>
  <c r="BB634" i="1"/>
  <c r="BD634" i="1"/>
  <c r="CE634" i="1"/>
  <c r="A635" i="1"/>
  <c r="C635" i="1"/>
  <c r="S635" i="1"/>
  <c r="T635" i="1"/>
  <c r="U635" i="1"/>
  <c r="BB635" i="1"/>
  <c r="BD635" i="1"/>
  <c r="CE635" i="1"/>
  <c r="A636" i="1"/>
  <c r="C636" i="1"/>
  <c r="S636" i="1"/>
  <c r="T636" i="1"/>
  <c r="U636" i="1"/>
  <c r="BB636" i="1"/>
  <c r="BD636" i="1"/>
  <c r="CE636" i="1"/>
  <c r="A637" i="1"/>
  <c r="C637" i="1"/>
  <c r="S637" i="1"/>
  <c r="T637" i="1"/>
  <c r="U637" i="1"/>
  <c r="BB637" i="1"/>
  <c r="BD637" i="1"/>
  <c r="CE637" i="1"/>
  <c r="A638" i="1"/>
  <c r="C638" i="1"/>
  <c r="S638" i="1"/>
  <c r="T638" i="1"/>
  <c r="U638" i="1"/>
  <c r="BB638" i="1"/>
  <c r="BD638" i="1"/>
  <c r="CE638" i="1"/>
  <c r="A639" i="1"/>
  <c r="C639" i="1"/>
  <c r="S639" i="1"/>
  <c r="T639" i="1"/>
  <c r="U639" i="1"/>
  <c r="BB639" i="1"/>
  <c r="BD639" i="1"/>
  <c r="CE639" i="1"/>
  <c r="A640" i="1"/>
  <c r="C640" i="1"/>
  <c r="S640" i="1"/>
  <c r="T640" i="1"/>
  <c r="U640" i="1"/>
  <c r="BB640" i="1"/>
  <c r="BD640" i="1"/>
  <c r="CE640" i="1"/>
  <c r="A641" i="1"/>
  <c r="C641" i="1"/>
  <c r="S641" i="1"/>
  <c r="T641" i="1"/>
  <c r="U641" i="1"/>
  <c r="BB641" i="1"/>
  <c r="BD641" i="1"/>
  <c r="CE641" i="1"/>
  <c r="A642" i="1"/>
  <c r="C642" i="1"/>
  <c r="S642" i="1"/>
  <c r="T642" i="1"/>
  <c r="U642" i="1"/>
  <c r="BB642" i="1"/>
  <c r="BD642" i="1"/>
  <c r="CE642" i="1"/>
  <c r="A643" i="1"/>
  <c r="C643" i="1"/>
  <c r="S643" i="1"/>
  <c r="T643" i="1"/>
  <c r="U643" i="1"/>
  <c r="BB643" i="1"/>
  <c r="BD643" i="1"/>
  <c r="CE643" i="1"/>
  <c r="A644" i="1"/>
  <c r="C644" i="1"/>
  <c r="S644" i="1"/>
  <c r="T644" i="1"/>
  <c r="U644" i="1"/>
  <c r="BB644" i="1"/>
  <c r="BD644" i="1"/>
  <c r="CE644" i="1"/>
  <c r="A645" i="1"/>
  <c r="C645" i="1"/>
  <c r="S645" i="1"/>
  <c r="T645" i="1"/>
  <c r="U645" i="1"/>
  <c r="BB645" i="1"/>
  <c r="BD645" i="1"/>
  <c r="CE645" i="1"/>
  <c r="A646" i="1"/>
  <c r="C646" i="1"/>
  <c r="S646" i="1"/>
  <c r="T646" i="1"/>
  <c r="U646" i="1"/>
  <c r="BB646" i="1"/>
  <c r="BD646" i="1"/>
  <c r="CE646" i="1"/>
  <c r="A647" i="1"/>
  <c r="C647" i="1"/>
  <c r="S647" i="1"/>
  <c r="T647" i="1"/>
  <c r="U647" i="1"/>
  <c r="BB647" i="1"/>
  <c r="BD647" i="1"/>
  <c r="CE647" i="1"/>
  <c r="A648" i="1"/>
  <c r="C648" i="1"/>
  <c r="S648" i="1"/>
  <c r="T648" i="1"/>
  <c r="U648" i="1"/>
  <c r="BB648" i="1"/>
  <c r="BD648" i="1"/>
  <c r="CE648" i="1"/>
  <c r="A649" i="1"/>
  <c r="C649" i="1"/>
  <c r="S649" i="1"/>
  <c r="T649" i="1"/>
  <c r="U649" i="1"/>
  <c r="BB649" i="1"/>
  <c r="BD649" i="1"/>
  <c r="CE649" i="1"/>
  <c r="A650" i="1"/>
  <c r="C650" i="1"/>
  <c r="S650" i="1"/>
  <c r="T650" i="1"/>
  <c r="U650" i="1"/>
  <c r="BB650" i="1"/>
  <c r="BD650" i="1"/>
  <c r="CE650" i="1"/>
  <c r="A651" i="1"/>
  <c r="C651" i="1"/>
  <c r="S651" i="1"/>
  <c r="T651" i="1"/>
  <c r="U651" i="1"/>
  <c r="BB651" i="1"/>
  <c r="BD651" i="1"/>
  <c r="CE651" i="1"/>
  <c r="A652" i="1"/>
  <c r="C652" i="1"/>
  <c r="S652" i="1"/>
  <c r="T652" i="1"/>
  <c r="U652" i="1"/>
  <c r="BB652" i="1"/>
  <c r="BD652" i="1"/>
  <c r="CE652" i="1"/>
  <c r="A653" i="1"/>
  <c r="C653" i="1"/>
  <c r="S653" i="1"/>
  <c r="T653" i="1"/>
  <c r="U653" i="1"/>
  <c r="BB653" i="1"/>
  <c r="BD653" i="1"/>
  <c r="CE653" i="1"/>
  <c r="A654" i="1"/>
  <c r="C654" i="1"/>
  <c r="S654" i="1"/>
  <c r="T654" i="1"/>
  <c r="U654" i="1"/>
  <c r="BB654" i="1"/>
  <c r="BD654" i="1"/>
  <c r="CE654" i="1"/>
  <c r="A655" i="1"/>
  <c r="C655" i="1"/>
  <c r="S655" i="1"/>
  <c r="T655" i="1"/>
  <c r="U655" i="1"/>
  <c r="BB655" i="1"/>
  <c r="BD655" i="1"/>
  <c r="CE655" i="1"/>
  <c r="A656" i="1"/>
  <c r="C656" i="1"/>
  <c r="S656" i="1"/>
  <c r="T656" i="1"/>
  <c r="U656" i="1"/>
  <c r="BB656" i="1"/>
  <c r="BD656" i="1"/>
  <c r="CE656" i="1"/>
  <c r="A657" i="1"/>
  <c r="C657" i="1"/>
  <c r="S657" i="1"/>
  <c r="T657" i="1"/>
  <c r="U657" i="1"/>
  <c r="BB657" i="1"/>
  <c r="BD657" i="1"/>
  <c r="CE657" i="1"/>
  <c r="A658" i="1"/>
  <c r="C658" i="1"/>
  <c r="S658" i="1"/>
  <c r="T658" i="1"/>
  <c r="U658" i="1"/>
  <c r="BB658" i="1"/>
  <c r="BD658" i="1"/>
  <c r="CE658" i="1"/>
  <c r="A659" i="1"/>
  <c r="C659" i="1"/>
  <c r="S659" i="1"/>
  <c r="T659" i="1"/>
  <c r="U659" i="1"/>
  <c r="BB659" i="1"/>
  <c r="BD659" i="1"/>
  <c r="CE659" i="1"/>
  <c r="A660" i="1"/>
  <c r="C660" i="1"/>
  <c r="S660" i="1"/>
  <c r="T660" i="1"/>
  <c r="U660" i="1"/>
  <c r="BB660" i="1"/>
  <c r="BD660" i="1"/>
  <c r="CE660" i="1"/>
  <c r="A661" i="1"/>
  <c r="C661" i="1"/>
  <c r="S661" i="1"/>
  <c r="T661" i="1"/>
  <c r="U661" i="1"/>
  <c r="BB661" i="1"/>
  <c r="BD661" i="1"/>
  <c r="CE661" i="1"/>
  <c r="A662" i="1"/>
  <c r="C662" i="1"/>
  <c r="S662" i="1"/>
  <c r="T662" i="1"/>
  <c r="U662" i="1"/>
  <c r="BB662" i="1"/>
  <c r="BD662" i="1"/>
  <c r="CE662" i="1"/>
  <c r="A663" i="1"/>
  <c r="C663" i="1"/>
  <c r="S663" i="1"/>
  <c r="T663" i="1"/>
  <c r="U663" i="1"/>
  <c r="BB663" i="1"/>
  <c r="BD663" i="1"/>
  <c r="CE663" i="1"/>
  <c r="A664" i="1"/>
  <c r="C664" i="1"/>
  <c r="S664" i="1"/>
  <c r="T664" i="1"/>
  <c r="U664" i="1"/>
  <c r="BB664" i="1"/>
  <c r="BD664" i="1"/>
  <c r="CE664" i="1"/>
  <c r="A665" i="1"/>
  <c r="C665" i="1"/>
  <c r="S665" i="1"/>
  <c r="T665" i="1"/>
  <c r="U665" i="1"/>
  <c r="BB665" i="1"/>
  <c r="BD665" i="1"/>
  <c r="CE665" i="1"/>
  <c r="A666" i="1"/>
  <c r="C666" i="1"/>
  <c r="S666" i="1"/>
  <c r="T666" i="1"/>
  <c r="U666" i="1"/>
  <c r="BB666" i="1"/>
  <c r="BD666" i="1"/>
  <c r="CE666" i="1"/>
  <c r="A667" i="1"/>
  <c r="C667" i="1"/>
  <c r="S667" i="1"/>
  <c r="T667" i="1"/>
  <c r="U667" i="1"/>
  <c r="BB667" i="1"/>
  <c r="BD667" i="1"/>
  <c r="CE667" i="1"/>
  <c r="A668" i="1"/>
  <c r="C668" i="1"/>
  <c r="S668" i="1"/>
  <c r="T668" i="1"/>
  <c r="U668" i="1"/>
  <c r="BB668" i="1"/>
  <c r="BD668" i="1"/>
  <c r="CE668" i="1"/>
  <c r="A669" i="1"/>
  <c r="C669" i="1"/>
  <c r="S669" i="1"/>
  <c r="T669" i="1"/>
  <c r="U669" i="1"/>
  <c r="BB669" i="1"/>
  <c r="BD669" i="1"/>
  <c r="CE669" i="1"/>
  <c r="A670" i="1"/>
  <c r="C670" i="1"/>
  <c r="S670" i="1"/>
  <c r="T670" i="1"/>
  <c r="U670" i="1"/>
  <c r="BB670" i="1"/>
  <c r="BD670" i="1"/>
  <c r="CE670" i="1"/>
  <c r="A671" i="1"/>
  <c r="C671" i="1"/>
  <c r="S671" i="1"/>
  <c r="T671" i="1"/>
  <c r="U671" i="1"/>
  <c r="BB671" i="1"/>
  <c r="BD671" i="1"/>
  <c r="CE671" i="1"/>
  <c r="A672" i="1"/>
  <c r="C672" i="1"/>
  <c r="S672" i="1"/>
  <c r="T672" i="1"/>
  <c r="U672" i="1"/>
  <c r="BB672" i="1"/>
  <c r="BD672" i="1"/>
  <c r="CE672" i="1"/>
  <c r="A673" i="1"/>
  <c r="C673" i="1"/>
  <c r="S673" i="1"/>
  <c r="T673" i="1"/>
  <c r="U673" i="1"/>
  <c r="BB673" i="1"/>
  <c r="BD673" i="1"/>
  <c r="CE673" i="1"/>
  <c r="A674" i="1"/>
  <c r="C674" i="1"/>
  <c r="S674" i="1"/>
  <c r="T674" i="1"/>
  <c r="U674" i="1"/>
  <c r="BB674" i="1"/>
  <c r="BD674" i="1"/>
  <c r="CE674" i="1"/>
  <c r="A675" i="1"/>
  <c r="C675" i="1"/>
  <c r="S675" i="1"/>
  <c r="T675" i="1"/>
  <c r="U675" i="1"/>
  <c r="BB675" i="1"/>
  <c r="BD675" i="1"/>
  <c r="CE675" i="1"/>
  <c r="A676" i="1"/>
  <c r="C676" i="1"/>
  <c r="S676" i="1"/>
  <c r="T676" i="1"/>
  <c r="U676" i="1"/>
  <c r="BB676" i="1"/>
  <c r="BD676" i="1"/>
  <c r="CE676" i="1"/>
  <c r="A677" i="1"/>
  <c r="C677" i="1"/>
  <c r="S677" i="1"/>
  <c r="T677" i="1"/>
  <c r="U677" i="1"/>
  <c r="BB677" i="1"/>
  <c r="BD677" i="1"/>
  <c r="CE677" i="1"/>
  <c r="A678" i="1"/>
  <c r="C678" i="1"/>
  <c r="S678" i="1"/>
  <c r="T678" i="1"/>
  <c r="U678" i="1"/>
  <c r="BB678" i="1"/>
  <c r="BD678" i="1"/>
  <c r="CE678" i="1"/>
  <c r="A679" i="1"/>
  <c r="C679" i="1"/>
  <c r="S679" i="1"/>
  <c r="T679" i="1"/>
  <c r="U679" i="1"/>
  <c r="BB679" i="1"/>
  <c r="BD679" i="1"/>
  <c r="CE679" i="1"/>
  <c r="A680" i="1"/>
  <c r="C680" i="1"/>
  <c r="S680" i="1"/>
  <c r="T680" i="1"/>
  <c r="U680" i="1"/>
  <c r="BB680" i="1"/>
  <c r="BD680" i="1"/>
  <c r="CE680" i="1"/>
  <c r="A681" i="1"/>
  <c r="C681" i="1"/>
  <c r="S681" i="1"/>
  <c r="T681" i="1"/>
  <c r="U681" i="1"/>
  <c r="BB681" i="1"/>
  <c r="BD681" i="1"/>
  <c r="CE681" i="1"/>
  <c r="A682" i="1"/>
  <c r="C682" i="1"/>
  <c r="S682" i="1"/>
  <c r="T682" i="1"/>
  <c r="U682" i="1"/>
  <c r="BB682" i="1"/>
  <c r="BD682" i="1"/>
  <c r="CE682" i="1"/>
  <c r="A683" i="1"/>
  <c r="C683" i="1"/>
  <c r="S683" i="1"/>
  <c r="T683" i="1"/>
  <c r="U683" i="1"/>
  <c r="BB683" i="1"/>
  <c r="BD683" i="1"/>
  <c r="CE683" i="1"/>
  <c r="A684" i="1"/>
  <c r="C684" i="1"/>
  <c r="S684" i="1"/>
  <c r="T684" i="1"/>
  <c r="U684" i="1"/>
  <c r="BB684" i="1"/>
  <c r="BD684" i="1"/>
  <c r="CE684" i="1"/>
  <c r="A685" i="1"/>
  <c r="C685" i="1"/>
  <c r="S685" i="1"/>
  <c r="T685" i="1"/>
  <c r="U685" i="1"/>
  <c r="BB685" i="1"/>
  <c r="BD685" i="1"/>
  <c r="CE685" i="1"/>
  <c r="A686" i="1"/>
  <c r="C686" i="1"/>
  <c r="S686" i="1"/>
  <c r="T686" i="1"/>
  <c r="U686" i="1"/>
  <c r="BB686" i="1"/>
  <c r="BD686" i="1"/>
  <c r="CE686" i="1"/>
  <c r="A687" i="1"/>
  <c r="C687" i="1"/>
  <c r="S687" i="1"/>
  <c r="T687" i="1"/>
  <c r="U687" i="1"/>
  <c r="BB687" i="1"/>
  <c r="BD687" i="1"/>
  <c r="CE687" i="1"/>
  <c r="A688" i="1"/>
  <c r="C688" i="1"/>
  <c r="S688" i="1"/>
  <c r="T688" i="1"/>
  <c r="U688" i="1"/>
  <c r="BB688" i="1"/>
  <c r="BD688" i="1"/>
  <c r="CE688" i="1"/>
  <c r="A689" i="1"/>
  <c r="C689" i="1"/>
  <c r="S689" i="1"/>
  <c r="T689" i="1"/>
  <c r="U689" i="1"/>
  <c r="BB689" i="1"/>
  <c r="BD689" i="1"/>
  <c r="CE689" i="1"/>
  <c r="A690" i="1"/>
  <c r="C690" i="1"/>
  <c r="S690" i="1"/>
  <c r="T690" i="1"/>
  <c r="U690" i="1"/>
  <c r="BB690" i="1"/>
  <c r="BD690" i="1"/>
  <c r="CE690" i="1"/>
  <c r="A691" i="1"/>
  <c r="C691" i="1"/>
  <c r="S691" i="1"/>
  <c r="T691" i="1"/>
  <c r="U691" i="1"/>
  <c r="BB691" i="1"/>
  <c r="BD691" i="1"/>
  <c r="CE691" i="1"/>
  <c r="A692" i="1"/>
  <c r="C692" i="1"/>
  <c r="S692" i="1"/>
  <c r="T692" i="1"/>
  <c r="U692" i="1"/>
  <c r="BB692" i="1"/>
  <c r="BD692" i="1"/>
  <c r="CE692" i="1"/>
  <c r="A693" i="1"/>
  <c r="C693" i="1"/>
  <c r="S693" i="1"/>
  <c r="T693" i="1"/>
  <c r="U693" i="1"/>
  <c r="BB693" i="1"/>
  <c r="BD693" i="1"/>
  <c r="CE693" i="1"/>
  <c r="A694" i="1"/>
  <c r="C694" i="1"/>
  <c r="S694" i="1"/>
  <c r="T694" i="1"/>
  <c r="U694" i="1"/>
  <c r="BB694" i="1"/>
  <c r="BD694" i="1"/>
  <c r="CE694" i="1"/>
  <c r="A695" i="1"/>
  <c r="C695" i="1"/>
  <c r="S695" i="1"/>
  <c r="T695" i="1"/>
  <c r="U695" i="1"/>
  <c r="BB695" i="1"/>
  <c r="BD695" i="1"/>
  <c r="CE695" i="1"/>
  <c r="A696" i="1"/>
  <c r="C696" i="1"/>
  <c r="S696" i="1"/>
  <c r="T696" i="1"/>
  <c r="U696" i="1"/>
  <c r="BB696" i="1"/>
  <c r="BD696" i="1"/>
  <c r="CE696" i="1"/>
  <c r="A697" i="1"/>
  <c r="C697" i="1"/>
  <c r="S697" i="1"/>
  <c r="T697" i="1"/>
  <c r="U697" i="1"/>
  <c r="BB697" i="1"/>
  <c r="BD697" i="1"/>
  <c r="CE697" i="1"/>
  <c r="A698" i="1"/>
  <c r="C698" i="1"/>
  <c r="S698" i="1"/>
  <c r="T698" i="1"/>
  <c r="U698" i="1"/>
  <c r="BB698" i="1"/>
  <c r="BD698" i="1"/>
  <c r="CE698" i="1"/>
  <c r="A699" i="1"/>
  <c r="C699" i="1"/>
  <c r="S699" i="1"/>
  <c r="T699" i="1"/>
  <c r="U699" i="1"/>
  <c r="BB699" i="1"/>
  <c r="BD699" i="1"/>
  <c r="CE699" i="1"/>
  <c r="A700" i="1"/>
  <c r="C700" i="1"/>
  <c r="S700" i="1"/>
  <c r="T700" i="1"/>
  <c r="U700" i="1"/>
  <c r="BB700" i="1"/>
  <c r="BD700" i="1"/>
  <c r="CE700" i="1"/>
  <c r="A701" i="1"/>
  <c r="C701" i="1"/>
  <c r="S701" i="1"/>
  <c r="T701" i="1"/>
  <c r="U701" i="1"/>
  <c r="BB701" i="1"/>
  <c r="BD701" i="1"/>
  <c r="CE701" i="1"/>
  <c r="A702" i="1"/>
  <c r="C702" i="1"/>
  <c r="S702" i="1"/>
  <c r="T702" i="1"/>
  <c r="U702" i="1"/>
  <c r="BB702" i="1"/>
  <c r="BD702" i="1"/>
  <c r="CE702" i="1"/>
  <c r="A703" i="1"/>
  <c r="C703" i="1"/>
  <c r="S703" i="1"/>
  <c r="T703" i="1"/>
  <c r="U703" i="1"/>
  <c r="BB703" i="1"/>
  <c r="BD703" i="1"/>
  <c r="CE703" i="1"/>
  <c r="A704" i="1"/>
  <c r="C704" i="1"/>
  <c r="S704" i="1"/>
  <c r="T704" i="1"/>
  <c r="U704" i="1"/>
  <c r="BB704" i="1"/>
  <c r="BD704" i="1"/>
  <c r="CE704" i="1"/>
  <c r="A705" i="1"/>
  <c r="C705" i="1"/>
  <c r="S705" i="1"/>
  <c r="T705" i="1"/>
  <c r="U705" i="1"/>
  <c r="BB705" i="1"/>
  <c r="BD705" i="1"/>
  <c r="CE705" i="1"/>
  <c r="A706" i="1"/>
  <c r="C706" i="1"/>
  <c r="S706" i="1"/>
  <c r="T706" i="1"/>
  <c r="U706" i="1"/>
  <c r="BB706" i="1"/>
  <c r="BD706" i="1"/>
  <c r="CE706" i="1"/>
  <c r="A707" i="1"/>
  <c r="C707" i="1"/>
  <c r="S707" i="1"/>
  <c r="T707" i="1"/>
  <c r="U707" i="1"/>
  <c r="BB707" i="1"/>
  <c r="BD707" i="1"/>
  <c r="CE707" i="1"/>
  <c r="A708" i="1"/>
  <c r="C708" i="1"/>
  <c r="S708" i="1"/>
  <c r="T708" i="1"/>
  <c r="U708" i="1"/>
  <c r="BB708" i="1"/>
  <c r="BD708" i="1"/>
  <c r="CE708" i="1"/>
  <c r="A709" i="1"/>
  <c r="C709" i="1"/>
  <c r="S709" i="1"/>
  <c r="T709" i="1"/>
  <c r="U709" i="1"/>
  <c r="BB709" i="1"/>
  <c r="BD709" i="1"/>
  <c r="CE709" i="1"/>
  <c r="A710" i="1"/>
  <c r="C710" i="1"/>
  <c r="S710" i="1"/>
  <c r="T710" i="1"/>
  <c r="U710" i="1"/>
  <c r="BB710" i="1"/>
  <c r="BD710" i="1"/>
  <c r="CE710" i="1"/>
  <c r="A711" i="1"/>
  <c r="C711" i="1"/>
  <c r="S711" i="1"/>
  <c r="T711" i="1"/>
  <c r="U711" i="1"/>
  <c r="BB711" i="1"/>
  <c r="BD711" i="1"/>
  <c r="CE711" i="1"/>
  <c r="A712" i="1"/>
  <c r="C712" i="1"/>
  <c r="S712" i="1"/>
  <c r="T712" i="1"/>
  <c r="U712" i="1"/>
  <c r="BB712" i="1"/>
  <c r="BD712" i="1"/>
  <c r="CE712" i="1"/>
  <c r="A713" i="1"/>
  <c r="C713" i="1"/>
  <c r="S713" i="1"/>
  <c r="T713" i="1"/>
  <c r="U713" i="1"/>
  <c r="BB713" i="1"/>
  <c r="BD713" i="1"/>
  <c r="CE713" i="1"/>
  <c r="A714" i="1"/>
  <c r="C714" i="1"/>
  <c r="S714" i="1"/>
  <c r="T714" i="1"/>
  <c r="U714" i="1"/>
  <c r="BB714" i="1"/>
  <c r="BD714" i="1"/>
  <c r="CE714" i="1"/>
  <c r="A715" i="1"/>
  <c r="C715" i="1"/>
  <c r="S715" i="1"/>
  <c r="T715" i="1"/>
  <c r="U715" i="1"/>
  <c r="BB715" i="1"/>
  <c r="BD715" i="1"/>
  <c r="CE715" i="1"/>
  <c r="A716" i="1"/>
  <c r="C716" i="1"/>
  <c r="S716" i="1"/>
  <c r="T716" i="1"/>
  <c r="U716" i="1"/>
  <c r="BB716" i="1"/>
  <c r="BD716" i="1"/>
  <c r="CE716" i="1"/>
  <c r="A717" i="1"/>
  <c r="C717" i="1"/>
  <c r="S717" i="1"/>
  <c r="T717" i="1"/>
  <c r="U717" i="1"/>
  <c r="BB717" i="1"/>
  <c r="BD717" i="1"/>
  <c r="CE717" i="1"/>
  <c r="A718" i="1"/>
  <c r="C718" i="1"/>
  <c r="S718" i="1"/>
  <c r="T718" i="1"/>
  <c r="U718" i="1"/>
  <c r="BB718" i="1"/>
  <c r="BD718" i="1"/>
  <c r="CE718" i="1"/>
  <c r="A719" i="1"/>
  <c r="C719" i="1"/>
  <c r="S719" i="1"/>
  <c r="T719" i="1"/>
  <c r="U719" i="1"/>
  <c r="BB719" i="1"/>
  <c r="BD719" i="1"/>
  <c r="CE719" i="1"/>
  <c r="A720" i="1"/>
  <c r="C720" i="1"/>
  <c r="S720" i="1"/>
  <c r="T720" i="1"/>
  <c r="U720" i="1"/>
  <c r="BB720" i="1"/>
  <c r="BD720" i="1"/>
  <c r="CE720" i="1"/>
  <c r="A721" i="1"/>
  <c r="C721" i="1"/>
  <c r="S721" i="1"/>
  <c r="T721" i="1"/>
  <c r="U721" i="1"/>
  <c r="BB721" i="1"/>
  <c r="BD721" i="1"/>
  <c r="CE721" i="1"/>
  <c r="A722" i="1"/>
  <c r="C722" i="1"/>
  <c r="S722" i="1"/>
  <c r="T722" i="1"/>
  <c r="U722" i="1"/>
  <c r="BB722" i="1"/>
  <c r="BD722" i="1"/>
  <c r="CE722" i="1"/>
  <c r="A723" i="1"/>
  <c r="C723" i="1"/>
  <c r="S723" i="1"/>
  <c r="T723" i="1"/>
  <c r="U723" i="1"/>
  <c r="BB723" i="1"/>
  <c r="BD723" i="1"/>
  <c r="CE723" i="1"/>
  <c r="A724" i="1"/>
  <c r="C724" i="1"/>
  <c r="S724" i="1"/>
  <c r="T724" i="1"/>
  <c r="U724" i="1"/>
  <c r="BB724" i="1"/>
  <c r="BD724" i="1"/>
  <c r="CE724" i="1"/>
  <c r="A725" i="1"/>
  <c r="C725" i="1"/>
  <c r="S725" i="1"/>
  <c r="T725" i="1"/>
  <c r="U725" i="1"/>
  <c r="BB725" i="1"/>
  <c r="BD725" i="1"/>
  <c r="CE725" i="1"/>
  <c r="A726" i="1"/>
  <c r="C726" i="1"/>
  <c r="S726" i="1"/>
  <c r="T726" i="1"/>
  <c r="U726" i="1"/>
  <c r="BB726" i="1"/>
  <c r="BD726" i="1"/>
  <c r="CE726" i="1"/>
  <c r="A727" i="1"/>
  <c r="C727" i="1"/>
  <c r="S727" i="1"/>
  <c r="T727" i="1"/>
  <c r="U727" i="1"/>
  <c r="BB727" i="1"/>
  <c r="BD727" i="1"/>
  <c r="CE727" i="1"/>
  <c r="A728" i="1"/>
  <c r="C728" i="1"/>
  <c r="S728" i="1"/>
  <c r="T728" i="1"/>
  <c r="U728" i="1"/>
  <c r="BB728" i="1"/>
  <c r="BD728" i="1"/>
  <c r="CE728" i="1"/>
  <c r="A729" i="1"/>
  <c r="C729" i="1"/>
  <c r="S729" i="1"/>
  <c r="T729" i="1"/>
  <c r="U729" i="1"/>
  <c r="BB729" i="1"/>
  <c r="BD729" i="1"/>
  <c r="CE729" i="1"/>
  <c r="A730" i="1"/>
  <c r="C730" i="1"/>
  <c r="S730" i="1"/>
  <c r="T730" i="1"/>
  <c r="U730" i="1"/>
  <c r="BB730" i="1"/>
  <c r="BD730" i="1"/>
  <c r="CE730" i="1"/>
  <c r="A731" i="1"/>
  <c r="C731" i="1"/>
  <c r="S731" i="1"/>
  <c r="T731" i="1"/>
  <c r="U731" i="1"/>
  <c r="BB731" i="1"/>
  <c r="BD731" i="1"/>
  <c r="CE731" i="1"/>
  <c r="A732" i="1"/>
  <c r="C732" i="1"/>
  <c r="S732" i="1"/>
  <c r="T732" i="1"/>
  <c r="U732" i="1"/>
  <c r="BB732" i="1"/>
  <c r="CE732" i="1"/>
  <c r="A733" i="1"/>
  <c r="C733" i="1"/>
  <c r="S733" i="1"/>
  <c r="T733" i="1"/>
  <c r="U733" i="1"/>
  <c r="BB733" i="1"/>
  <c r="BD733" i="1"/>
  <c r="CE733" i="1"/>
  <c r="A734" i="1"/>
  <c r="C734" i="1"/>
  <c r="S734" i="1"/>
  <c r="T734" i="1"/>
  <c r="U734" i="1"/>
  <c r="BB734" i="1"/>
  <c r="BD734" i="1"/>
  <c r="CE734" i="1"/>
  <c r="A735" i="1"/>
  <c r="C735" i="1"/>
  <c r="S735" i="1"/>
  <c r="T735" i="1"/>
  <c r="U735" i="1"/>
  <c r="BB735" i="1"/>
  <c r="BD735" i="1"/>
  <c r="CE735" i="1"/>
  <c r="A736" i="1"/>
  <c r="C736" i="1"/>
  <c r="S736" i="1"/>
  <c r="T736" i="1"/>
  <c r="U736" i="1"/>
  <c r="BB736" i="1"/>
  <c r="BD736" i="1"/>
  <c r="CE736" i="1"/>
  <c r="A737" i="1"/>
  <c r="C737" i="1"/>
  <c r="S737" i="1"/>
  <c r="T737" i="1"/>
  <c r="U737" i="1"/>
  <c r="BB737" i="1"/>
  <c r="BD737" i="1"/>
  <c r="CE737" i="1"/>
  <c r="A738" i="1"/>
  <c r="C738" i="1"/>
  <c r="S738" i="1"/>
  <c r="T738" i="1"/>
  <c r="U738" i="1"/>
  <c r="BB738" i="1"/>
  <c r="BD738" i="1"/>
  <c r="CE738" i="1"/>
  <c r="A739" i="1"/>
  <c r="C739" i="1"/>
  <c r="S739" i="1"/>
  <c r="T739" i="1"/>
  <c r="U739" i="1"/>
  <c r="BB739" i="1"/>
  <c r="BD739" i="1"/>
  <c r="CE739" i="1"/>
  <c r="A740" i="1"/>
  <c r="C740" i="1"/>
  <c r="S740" i="1"/>
  <c r="T740" i="1"/>
  <c r="U740" i="1"/>
  <c r="BB740" i="1"/>
  <c r="BD740" i="1"/>
  <c r="CE740" i="1"/>
  <c r="A741" i="1"/>
  <c r="C741" i="1"/>
  <c r="S741" i="1"/>
  <c r="T741" i="1"/>
  <c r="U741" i="1"/>
  <c r="BB741" i="1"/>
  <c r="BD741" i="1"/>
  <c r="CE741" i="1"/>
  <c r="A742" i="1"/>
  <c r="C742" i="1"/>
  <c r="S742" i="1"/>
  <c r="T742" i="1"/>
  <c r="U742" i="1"/>
  <c r="BB742" i="1"/>
  <c r="BD742" i="1"/>
  <c r="CE742" i="1"/>
  <c r="A743" i="1"/>
  <c r="C743" i="1"/>
  <c r="S743" i="1"/>
  <c r="T743" i="1"/>
  <c r="U743" i="1"/>
  <c r="BB743" i="1"/>
  <c r="BD743" i="1"/>
  <c r="CE743" i="1"/>
  <c r="A744" i="1"/>
  <c r="C744" i="1"/>
  <c r="S744" i="1"/>
  <c r="T744" i="1"/>
  <c r="U744" i="1"/>
  <c r="BB744" i="1"/>
  <c r="BD744" i="1"/>
  <c r="CE744" i="1"/>
  <c r="A745" i="1"/>
  <c r="C745" i="1"/>
  <c r="S745" i="1"/>
  <c r="T745" i="1"/>
  <c r="U745" i="1"/>
  <c r="BB745" i="1"/>
  <c r="BD745" i="1"/>
  <c r="CE745" i="1"/>
  <c r="A746" i="1"/>
  <c r="C746" i="1"/>
  <c r="S746" i="1"/>
  <c r="T746" i="1"/>
  <c r="U746" i="1"/>
  <c r="BB746" i="1"/>
  <c r="BD746" i="1"/>
  <c r="CE746" i="1"/>
  <c r="A747" i="1"/>
  <c r="C747" i="1"/>
  <c r="S747" i="1"/>
  <c r="T747" i="1"/>
  <c r="U747" i="1"/>
  <c r="BB747" i="1"/>
  <c r="BD747" i="1"/>
  <c r="CE747" i="1"/>
  <c r="A748" i="1"/>
  <c r="C748" i="1"/>
  <c r="S748" i="1"/>
  <c r="T748" i="1"/>
  <c r="U748" i="1"/>
  <c r="BB748" i="1"/>
  <c r="BD748" i="1"/>
  <c r="CE748" i="1"/>
  <c r="A749" i="1"/>
  <c r="C749" i="1"/>
  <c r="S749" i="1"/>
  <c r="T749" i="1"/>
  <c r="U749" i="1"/>
  <c r="BB749" i="1"/>
  <c r="CE749" i="1"/>
  <c r="A750" i="1"/>
  <c r="C750" i="1"/>
  <c r="S750" i="1"/>
  <c r="T750" i="1"/>
  <c r="U750" i="1"/>
  <c r="BB750" i="1"/>
  <c r="CE750" i="1"/>
  <c r="A751" i="1"/>
  <c r="C751" i="1"/>
  <c r="S751" i="1"/>
  <c r="T751" i="1"/>
  <c r="U751" i="1"/>
  <c r="BB751" i="1"/>
  <c r="CE751" i="1"/>
  <c r="A752" i="1"/>
  <c r="C752" i="1"/>
  <c r="S752" i="1"/>
  <c r="T752" i="1"/>
  <c r="U752" i="1"/>
  <c r="BB752" i="1"/>
  <c r="BD752" i="1"/>
  <c r="CE752" i="1"/>
  <c r="A753" i="1"/>
  <c r="C753" i="1"/>
  <c r="S753" i="1"/>
  <c r="T753" i="1"/>
  <c r="U753" i="1"/>
  <c r="BB753" i="1"/>
  <c r="BD753" i="1"/>
  <c r="CE753" i="1"/>
  <c r="A754" i="1"/>
  <c r="C754" i="1"/>
  <c r="S754" i="1"/>
  <c r="T754" i="1"/>
  <c r="U754" i="1"/>
  <c r="BB754" i="1"/>
  <c r="BD754" i="1"/>
  <c r="CE754" i="1"/>
  <c r="A755" i="1"/>
  <c r="C755" i="1"/>
  <c r="S755" i="1"/>
  <c r="T755" i="1"/>
  <c r="U755" i="1"/>
  <c r="BB755" i="1"/>
  <c r="BD755" i="1"/>
  <c r="CE755" i="1"/>
  <c r="A756" i="1"/>
  <c r="C756" i="1"/>
  <c r="S756" i="1"/>
  <c r="T756" i="1"/>
  <c r="U756" i="1"/>
  <c r="BB756" i="1"/>
  <c r="BD756" i="1"/>
  <c r="CE756" i="1"/>
  <c r="A757" i="1"/>
  <c r="C757" i="1"/>
  <c r="S757" i="1"/>
  <c r="T757" i="1"/>
  <c r="U757" i="1"/>
  <c r="BB757" i="1"/>
  <c r="BD757" i="1"/>
  <c r="CE757" i="1"/>
  <c r="A758" i="1"/>
  <c r="C758" i="1"/>
  <c r="S758" i="1"/>
  <c r="T758" i="1"/>
  <c r="U758" i="1"/>
  <c r="BB758" i="1"/>
  <c r="BD758" i="1"/>
  <c r="CE758" i="1"/>
  <c r="A759" i="1"/>
  <c r="C759" i="1"/>
  <c r="S759" i="1"/>
  <c r="T759" i="1"/>
  <c r="U759" i="1"/>
  <c r="BB759" i="1"/>
  <c r="CE759" i="1"/>
  <c r="A760" i="1"/>
  <c r="C760" i="1"/>
  <c r="S760" i="1"/>
  <c r="T760" i="1"/>
  <c r="U760" i="1"/>
  <c r="BB760" i="1"/>
  <c r="BD760" i="1"/>
  <c r="CE760" i="1"/>
  <c r="A761" i="1"/>
  <c r="C761" i="1"/>
  <c r="S761" i="1"/>
  <c r="T761" i="1"/>
  <c r="U761" i="1"/>
  <c r="BB761" i="1"/>
  <c r="BD761" i="1"/>
  <c r="CE761" i="1"/>
  <c r="A762" i="1"/>
  <c r="C762" i="1"/>
  <c r="S762" i="1"/>
  <c r="T762" i="1"/>
  <c r="U762" i="1"/>
  <c r="BB762" i="1"/>
  <c r="BD762" i="1"/>
  <c r="CE762" i="1"/>
  <c r="A763" i="1"/>
  <c r="C763" i="1"/>
  <c r="S763" i="1"/>
  <c r="T763" i="1"/>
  <c r="U763" i="1"/>
  <c r="BB763" i="1"/>
  <c r="BD763" i="1"/>
  <c r="CE763" i="1"/>
  <c r="A764" i="1"/>
  <c r="C764" i="1"/>
  <c r="S764" i="1"/>
  <c r="T764" i="1"/>
  <c r="U764" i="1"/>
  <c r="BB764" i="1"/>
  <c r="BD764" i="1"/>
  <c r="CE764" i="1"/>
  <c r="A765" i="1"/>
  <c r="C765" i="1"/>
  <c r="S765" i="1"/>
  <c r="T765" i="1"/>
  <c r="U765" i="1"/>
  <c r="BB765" i="1"/>
  <c r="BD765" i="1"/>
  <c r="CE765" i="1"/>
  <c r="A766" i="1"/>
  <c r="C766" i="1"/>
  <c r="S766" i="1"/>
  <c r="T766" i="1"/>
  <c r="U766" i="1"/>
  <c r="BB766" i="1"/>
  <c r="BD766" i="1"/>
  <c r="CE766" i="1"/>
  <c r="A767" i="1"/>
  <c r="C767" i="1"/>
  <c r="S767" i="1"/>
  <c r="T767" i="1"/>
  <c r="U767" i="1"/>
  <c r="BB767" i="1"/>
  <c r="BD767" i="1"/>
  <c r="CE767" i="1"/>
  <c r="A768" i="1"/>
  <c r="C768" i="1"/>
  <c r="S768" i="1"/>
  <c r="T768" i="1"/>
  <c r="U768" i="1"/>
  <c r="BB768" i="1"/>
  <c r="BD768" i="1"/>
  <c r="CE768" i="1"/>
  <c r="A769" i="1"/>
  <c r="C769" i="1"/>
  <c r="S769" i="1"/>
  <c r="T769" i="1"/>
  <c r="U769" i="1"/>
  <c r="BB769" i="1"/>
  <c r="CE769" i="1"/>
  <c r="A770" i="1"/>
  <c r="C770" i="1"/>
  <c r="S770" i="1"/>
  <c r="T770" i="1"/>
  <c r="U770" i="1"/>
  <c r="BB770" i="1"/>
  <c r="BD770" i="1"/>
  <c r="CE770" i="1"/>
  <c r="A771" i="1"/>
  <c r="C771" i="1"/>
  <c r="S771" i="1"/>
  <c r="T771" i="1"/>
  <c r="U771" i="1"/>
  <c r="BB771" i="1"/>
  <c r="BD771" i="1"/>
  <c r="CE771" i="1"/>
  <c r="A772" i="1"/>
  <c r="C772" i="1"/>
  <c r="S772" i="1"/>
  <c r="T772" i="1"/>
  <c r="U772" i="1"/>
  <c r="BB772" i="1"/>
  <c r="BD772" i="1"/>
  <c r="CE772" i="1"/>
  <c r="A773" i="1"/>
  <c r="C773" i="1"/>
  <c r="S773" i="1"/>
  <c r="T773" i="1"/>
  <c r="U773" i="1"/>
  <c r="BB773" i="1"/>
  <c r="BD773" i="1"/>
  <c r="CE773" i="1"/>
  <c r="A774" i="1"/>
  <c r="C774" i="1"/>
  <c r="S774" i="1"/>
  <c r="T774" i="1"/>
  <c r="U774" i="1"/>
  <c r="BB774" i="1"/>
  <c r="BD774" i="1"/>
  <c r="CE774" i="1"/>
  <c r="A775" i="1"/>
  <c r="C775" i="1"/>
  <c r="S775" i="1"/>
  <c r="T775" i="1"/>
  <c r="U775" i="1"/>
  <c r="BB775" i="1"/>
  <c r="BD775" i="1"/>
  <c r="CE775" i="1"/>
  <c r="A776" i="1"/>
  <c r="C776" i="1"/>
  <c r="S776" i="1"/>
  <c r="T776" i="1"/>
  <c r="U776" i="1"/>
  <c r="BB776" i="1"/>
  <c r="BD776" i="1"/>
  <c r="CE776" i="1"/>
  <c r="A777" i="1"/>
  <c r="C777" i="1"/>
  <c r="S777" i="1"/>
  <c r="T777" i="1"/>
  <c r="U777" i="1"/>
  <c r="BB777" i="1"/>
  <c r="BD777" i="1"/>
  <c r="CE777" i="1"/>
  <c r="A778" i="1"/>
  <c r="C778" i="1"/>
  <c r="S778" i="1"/>
  <c r="T778" i="1"/>
  <c r="U778" i="1"/>
  <c r="BB778" i="1"/>
  <c r="BD778" i="1"/>
  <c r="CE778" i="1"/>
  <c r="A779" i="1"/>
  <c r="C779" i="1"/>
  <c r="S779" i="1"/>
  <c r="T779" i="1"/>
  <c r="U779" i="1"/>
  <c r="BB779" i="1"/>
  <c r="BD779" i="1"/>
  <c r="CE779" i="1"/>
  <c r="A780" i="1"/>
  <c r="C780" i="1"/>
  <c r="S780" i="1"/>
  <c r="T780" i="1"/>
  <c r="U780" i="1"/>
  <c r="BB780" i="1"/>
  <c r="BD780" i="1"/>
  <c r="CE780" i="1"/>
  <c r="A781" i="1"/>
  <c r="C781" i="1"/>
  <c r="S781" i="1"/>
  <c r="T781" i="1"/>
  <c r="U781" i="1"/>
  <c r="BB781" i="1"/>
  <c r="BD781" i="1"/>
  <c r="CE781" i="1"/>
  <c r="A782" i="1"/>
  <c r="C782" i="1"/>
  <c r="S782" i="1"/>
  <c r="T782" i="1"/>
  <c r="U782" i="1"/>
  <c r="BB782" i="1"/>
  <c r="BD782" i="1"/>
  <c r="CE782" i="1"/>
  <c r="A783" i="1"/>
  <c r="C783" i="1"/>
  <c r="S783" i="1"/>
  <c r="T783" i="1"/>
  <c r="U783" i="1"/>
  <c r="BB783" i="1"/>
  <c r="CE783" i="1"/>
  <c r="A784" i="1"/>
  <c r="C784" i="1"/>
  <c r="S784" i="1"/>
  <c r="T784" i="1"/>
  <c r="U784" i="1"/>
  <c r="BB784" i="1"/>
  <c r="BD784" i="1"/>
  <c r="CE784" i="1"/>
  <c r="A785" i="1"/>
  <c r="C785" i="1"/>
  <c r="S785" i="1"/>
  <c r="T785" i="1"/>
  <c r="U785" i="1"/>
  <c r="BB785" i="1"/>
  <c r="BD785" i="1"/>
  <c r="CE785" i="1"/>
  <c r="A786" i="1"/>
  <c r="C786" i="1"/>
  <c r="S786" i="1"/>
  <c r="T786" i="1"/>
  <c r="U786" i="1"/>
  <c r="BB786" i="1"/>
  <c r="BD786" i="1"/>
  <c r="CE786" i="1"/>
  <c r="A787" i="1"/>
  <c r="C787" i="1"/>
  <c r="S787" i="1"/>
  <c r="T787" i="1"/>
  <c r="U787" i="1"/>
  <c r="BB787" i="1"/>
  <c r="BD787" i="1"/>
  <c r="CE787" i="1"/>
  <c r="A788" i="1"/>
  <c r="C788" i="1"/>
  <c r="S788" i="1"/>
  <c r="T788" i="1"/>
  <c r="U788" i="1"/>
  <c r="BB788" i="1"/>
  <c r="BD788" i="1"/>
  <c r="CE788" i="1"/>
  <c r="A789" i="1"/>
  <c r="C789" i="1"/>
  <c r="S789" i="1"/>
  <c r="T789" i="1"/>
  <c r="U789" i="1"/>
  <c r="BB789" i="1"/>
  <c r="BD789" i="1"/>
  <c r="CE789" i="1"/>
  <c r="A790" i="1"/>
  <c r="C790" i="1"/>
  <c r="S790" i="1"/>
  <c r="T790" i="1"/>
  <c r="U790" i="1"/>
  <c r="BB790" i="1"/>
  <c r="BD790" i="1"/>
  <c r="CE790" i="1"/>
  <c r="A791" i="1"/>
  <c r="C791" i="1"/>
  <c r="S791" i="1"/>
  <c r="T791" i="1"/>
  <c r="U791" i="1"/>
  <c r="BB791" i="1"/>
  <c r="BD791" i="1"/>
  <c r="CE791" i="1"/>
  <c r="A792" i="1"/>
  <c r="C792" i="1"/>
  <c r="S792" i="1"/>
  <c r="T792" i="1"/>
  <c r="U792" i="1"/>
  <c r="BB792" i="1"/>
  <c r="BD792" i="1"/>
  <c r="CE792" i="1"/>
  <c r="A793" i="1"/>
  <c r="C793" i="1"/>
  <c r="S793" i="1"/>
  <c r="T793" i="1"/>
  <c r="U793" i="1"/>
  <c r="BB793" i="1"/>
  <c r="BD793" i="1"/>
  <c r="CE793" i="1"/>
  <c r="A794" i="1"/>
  <c r="C794" i="1"/>
  <c r="S794" i="1"/>
  <c r="T794" i="1"/>
  <c r="U794" i="1"/>
  <c r="BB794" i="1"/>
  <c r="BD794" i="1"/>
  <c r="CE794" i="1"/>
  <c r="A795" i="1"/>
  <c r="C795" i="1"/>
  <c r="S795" i="1"/>
  <c r="T795" i="1"/>
  <c r="U795" i="1"/>
  <c r="BB795" i="1"/>
  <c r="BD795" i="1"/>
  <c r="CE795" i="1"/>
  <c r="A796" i="1"/>
  <c r="C796" i="1"/>
  <c r="S796" i="1"/>
  <c r="T796" i="1"/>
  <c r="U796" i="1"/>
  <c r="BB796" i="1"/>
  <c r="BD796" i="1"/>
  <c r="CE796" i="1"/>
  <c r="A797" i="1"/>
  <c r="C797" i="1"/>
  <c r="S797" i="1"/>
  <c r="T797" i="1"/>
  <c r="U797" i="1"/>
  <c r="BB797" i="1"/>
  <c r="BD797" i="1"/>
  <c r="CE797" i="1"/>
  <c r="A798" i="1"/>
  <c r="C798" i="1"/>
  <c r="S798" i="1"/>
  <c r="T798" i="1"/>
  <c r="U798" i="1"/>
  <c r="BB798" i="1"/>
  <c r="BD798" i="1"/>
  <c r="CE798" i="1"/>
  <c r="A799" i="1"/>
  <c r="C799" i="1"/>
  <c r="S799" i="1"/>
  <c r="T799" i="1"/>
  <c r="U799" i="1"/>
  <c r="BB799" i="1"/>
  <c r="BD799" i="1"/>
  <c r="CE799" i="1"/>
  <c r="A800" i="1"/>
  <c r="C800" i="1"/>
  <c r="S800" i="1"/>
  <c r="T800" i="1"/>
  <c r="U800" i="1"/>
  <c r="BB800" i="1"/>
  <c r="BD800" i="1"/>
  <c r="CE800" i="1"/>
  <c r="A801" i="1"/>
  <c r="C801" i="1"/>
  <c r="S801" i="1"/>
  <c r="T801" i="1"/>
  <c r="U801" i="1"/>
  <c r="BB801" i="1"/>
  <c r="BD801" i="1"/>
  <c r="CE801" i="1"/>
  <c r="A802" i="1"/>
  <c r="C802" i="1"/>
  <c r="S802" i="1"/>
  <c r="T802" i="1"/>
  <c r="U802" i="1"/>
  <c r="BB802" i="1"/>
  <c r="BD802" i="1"/>
  <c r="CE802" i="1"/>
  <c r="A803" i="1"/>
  <c r="C803" i="1"/>
  <c r="S803" i="1"/>
  <c r="T803" i="1"/>
  <c r="U803" i="1"/>
  <c r="BB803" i="1"/>
  <c r="BD803" i="1"/>
  <c r="CE803" i="1"/>
  <c r="A804" i="1"/>
  <c r="C804" i="1"/>
  <c r="S804" i="1"/>
  <c r="T804" i="1"/>
  <c r="U804" i="1"/>
  <c r="BB804" i="1"/>
  <c r="BD804" i="1"/>
  <c r="CE804" i="1"/>
  <c r="A805" i="1"/>
  <c r="C805" i="1"/>
  <c r="S805" i="1"/>
  <c r="T805" i="1"/>
  <c r="U805" i="1"/>
  <c r="BB805" i="1"/>
  <c r="BD805" i="1"/>
  <c r="CE805" i="1"/>
  <c r="A806" i="1"/>
  <c r="C806" i="1"/>
  <c r="S806" i="1"/>
  <c r="T806" i="1"/>
  <c r="U806" i="1"/>
  <c r="BB806" i="1"/>
  <c r="BD806" i="1"/>
  <c r="CE806" i="1"/>
  <c r="A807" i="1"/>
  <c r="C807" i="1"/>
  <c r="S807" i="1"/>
  <c r="T807" i="1"/>
  <c r="U807" i="1"/>
  <c r="BB807" i="1"/>
  <c r="BD807" i="1"/>
  <c r="CE807" i="1"/>
  <c r="A808" i="1"/>
  <c r="C808" i="1"/>
  <c r="S808" i="1"/>
  <c r="T808" i="1"/>
  <c r="U808" i="1"/>
  <c r="BB808" i="1"/>
  <c r="BD808" i="1"/>
  <c r="CE808" i="1"/>
  <c r="A809" i="1"/>
  <c r="C809" i="1"/>
  <c r="S809" i="1"/>
  <c r="T809" i="1"/>
  <c r="U809" i="1"/>
  <c r="BB809" i="1"/>
  <c r="BD809" i="1"/>
  <c r="CE809" i="1"/>
  <c r="A810" i="1"/>
  <c r="C810" i="1"/>
  <c r="S810" i="1"/>
  <c r="T810" i="1"/>
  <c r="U810" i="1"/>
  <c r="BB810" i="1"/>
  <c r="BD810" i="1"/>
  <c r="CE810" i="1"/>
  <c r="A811" i="1"/>
  <c r="C811" i="1"/>
  <c r="S811" i="1"/>
  <c r="T811" i="1"/>
  <c r="U811" i="1"/>
  <c r="BB811" i="1"/>
  <c r="BD811" i="1"/>
  <c r="CE811" i="1"/>
  <c r="A812" i="1"/>
  <c r="C812" i="1"/>
  <c r="S812" i="1"/>
  <c r="T812" i="1"/>
  <c r="U812" i="1"/>
  <c r="BB812" i="1"/>
  <c r="BD812" i="1"/>
  <c r="CE812" i="1"/>
  <c r="A813" i="1"/>
  <c r="C813" i="1"/>
  <c r="S813" i="1"/>
  <c r="T813" i="1"/>
  <c r="U813" i="1"/>
  <c r="BB813" i="1"/>
  <c r="BD813" i="1"/>
  <c r="CE813" i="1"/>
  <c r="A814" i="1"/>
  <c r="C814" i="1"/>
  <c r="S814" i="1"/>
  <c r="T814" i="1"/>
  <c r="U814" i="1"/>
  <c r="BB814" i="1"/>
  <c r="BD814" i="1"/>
  <c r="CE814" i="1"/>
  <c r="A815" i="1"/>
  <c r="C815" i="1"/>
  <c r="S815" i="1"/>
  <c r="T815" i="1"/>
  <c r="U815" i="1"/>
  <c r="BB815" i="1"/>
  <c r="BD815" i="1"/>
  <c r="CE815" i="1"/>
  <c r="A816" i="1"/>
  <c r="C816" i="1"/>
  <c r="S816" i="1"/>
  <c r="T816" i="1"/>
  <c r="U816" i="1"/>
  <c r="BB816" i="1"/>
  <c r="BD816" i="1"/>
  <c r="CE816" i="1"/>
  <c r="A817" i="1"/>
  <c r="C817" i="1"/>
  <c r="S817" i="1"/>
  <c r="T817" i="1"/>
  <c r="U817" i="1"/>
  <c r="BB817" i="1"/>
  <c r="BD817" i="1"/>
  <c r="CE817" i="1"/>
  <c r="A818" i="1"/>
  <c r="C818" i="1"/>
  <c r="S818" i="1"/>
  <c r="T818" i="1"/>
  <c r="U818" i="1"/>
  <c r="BB818" i="1"/>
  <c r="BD818" i="1"/>
  <c r="CE818" i="1"/>
  <c r="A819" i="1"/>
  <c r="C819" i="1"/>
  <c r="S819" i="1"/>
  <c r="T819" i="1"/>
  <c r="U819" i="1"/>
  <c r="BB819" i="1"/>
  <c r="BD819" i="1"/>
  <c r="CE819" i="1"/>
  <c r="A820" i="1"/>
  <c r="C820" i="1"/>
  <c r="S820" i="1"/>
  <c r="T820" i="1"/>
  <c r="U820" i="1"/>
  <c r="BB820" i="1"/>
  <c r="BD820" i="1"/>
  <c r="CE820" i="1"/>
  <c r="A821" i="1"/>
  <c r="C821" i="1"/>
  <c r="S821" i="1"/>
  <c r="T821" i="1"/>
  <c r="U821" i="1"/>
  <c r="BB821" i="1"/>
  <c r="BD821" i="1"/>
  <c r="CE821" i="1"/>
  <c r="A822" i="1"/>
  <c r="C822" i="1"/>
  <c r="S822" i="1"/>
  <c r="T822" i="1"/>
  <c r="U822" i="1"/>
  <c r="BB822" i="1"/>
  <c r="BD822" i="1"/>
  <c r="CE822" i="1"/>
  <c r="A823" i="1"/>
  <c r="C823" i="1"/>
  <c r="S823" i="1"/>
  <c r="T823" i="1"/>
  <c r="U823" i="1"/>
  <c r="BB823" i="1"/>
  <c r="BD823" i="1"/>
  <c r="CE823" i="1"/>
  <c r="A824" i="1"/>
  <c r="C824" i="1"/>
  <c r="S824" i="1"/>
  <c r="T824" i="1"/>
  <c r="U824" i="1"/>
  <c r="BB824" i="1"/>
  <c r="BD824" i="1"/>
  <c r="CE824" i="1"/>
  <c r="A825" i="1"/>
  <c r="C825" i="1"/>
  <c r="S825" i="1"/>
  <c r="T825" i="1"/>
  <c r="U825" i="1"/>
  <c r="BB825" i="1"/>
  <c r="BD825" i="1"/>
  <c r="CE825" i="1"/>
  <c r="A826" i="1"/>
  <c r="C826" i="1"/>
  <c r="S826" i="1"/>
  <c r="T826" i="1"/>
  <c r="U826" i="1"/>
  <c r="BB826" i="1"/>
  <c r="BD826" i="1"/>
  <c r="CE826" i="1"/>
  <c r="A827" i="1"/>
  <c r="C827" i="1"/>
  <c r="S827" i="1"/>
  <c r="T827" i="1"/>
  <c r="U827" i="1"/>
  <c r="BB827" i="1"/>
  <c r="BD827" i="1"/>
  <c r="CE827" i="1"/>
  <c r="A828" i="1"/>
  <c r="C828" i="1"/>
  <c r="S828" i="1"/>
  <c r="T828" i="1"/>
  <c r="U828" i="1"/>
  <c r="BB828" i="1"/>
  <c r="BD828" i="1"/>
  <c r="CE828" i="1"/>
  <c r="A829" i="1"/>
  <c r="C829" i="1"/>
  <c r="S829" i="1"/>
  <c r="T829" i="1"/>
  <c r="U829" i="1"/>
  <c r="BB829" i="1"/>
  <c r="BD829" i="1"/>
  <c r="CE829" i="1"/>
  <c r="A830" i="1"/>
  <c r="C830" i="1"/>
  <c r="S830" i="1"/>
  <c r="T830" i="1"/>
  <c r="U830" i="1"/>
  <c r="BB830" i="1"/>
  <c r="BD830" i="1"/>
  <c r="CE830" i="1"/>
  <c r="A831" i="1"/>
  <c r="C831" i="1"/>
  <c r="S831" i="1"/>
  <c r="T831" i="1"/>
  <c r="U831" i="1"/>
  <c r="BB831" i="1"/>
  <c r="BD831" i="1"/>
  <c r="CE831" i="1"/>
  <c r="A832" i="1"/>
  <c r="C832" i="1"/>
  <c r="S832" i="1"/>
  <c r="T832" i="1"/>
  <c r="U832" i="1"/>
  <c r="BB832" i="1"/>
  <c r="BD832" i="1"/>
  <c r="CE832" i="1"/>
  <c r="A833" i="1"/>
  <c r="C833" i="1"/>
  <c r="S833" i="1"/>
  <c r="T833" i="1"/>
  <c r="U833" i="1"/>
  <c r="BB833" i="1"/>
  <c r="BD833" i="1"/>
  <c r="CE833" i="1"/>
  <c r="A834" i="1"/>
  <c r="C834" i="1"/>
  <c r="S834" i="1"/>
  <c r="T834" i="1"/>
  <c r="U834" i="1"/>
  <c r="BB834" i="1"/>
  <c r="BD834" i="1"/>
  <c r="CE834" i="1"/>
  <c r="A835" i="1"/>
  <c r="C835" i="1"/>
  <c r="S835" i="1"/>
  <c r="T835" i="1"/>
  <c r="U835" i="1"/>
  <c r="BB835" i="1"/>
  <c r="BD835" i="1"/>
  <c r="CE835" i="1"/>
  <c r="A836" i="1"/>
  <c r="C836" i="1"/>
  <c r="S836" i="1"/>
  <c r="T836" i="1"/>
  <c r="U836" i="1"/>
  <c r="BB836" i="1"/>
  <c r="BD836" i="1"/>
  <c r="CE836" i="1"/>
  <c r="A837" i="1"/>
  <c r="C837" i="1"/>
  <c r="S837" i="1"/>
  <c r="T837" i="1"/>
  <c r="U837" i="1"/>
  <c r="BB837" i="1"/>
  <c r="BD837" i="1"/>
  <c r="CE837" i="1"/>
  <c r="A838" i="1"/>
  <c r="C838" i="1"/>
  <c r="S838" i="1"/>
  <c r="T838" i="1"/>
  <c r="U838" i="1"/>
  <c r="BB838" i="1"/>
  <c r="BD838" i="1"/>
  <c r="CE838" i="1"/>
  <c r="A839" i="1"/>
  <c r="C839" i="1"/>
  <c r="S839" i="1"/>
  <c r="T839" i="1"/>
  <c r="U839" i="1"/>
  <c r="BB839" i="1"/>
  <c r="BD839" i="1"/>
  <c r="CE839" i="1"/>
  <c r="A840" i="1"/>
  <c r="C840" i="1"/>
  <c r="S840" i="1"/>
  <c r="T840" i="1"/>
  <c r="U840" i="1"/>
  <c r="BB840" i="1"/>
  <c r="BD840" i="1"/>
  <c r="CE840" i="1"/>
  <c r="A841" i="1"/>
  <c r="C841" i="1"/>
  <c r="S841" i="1"/>
  <c r="T841" i="1"/>
  <c r="U841" i="1"/>
  <c r="BB841" i="1"/>
  <c r="BD841" i="1"/>
  <c r="CE841" i="1"/>
  <c r="A842" i="1"/>
  <c r="C842" i="1"/>
  <c r="S842" i="1"/>
  <c r="T842" i="1"/>
  <c r="U842" i="1"/>
  <c r="BB842" i="1"/>
  <c r="BD842" i="1"/>
  <c r="CE842" i="1"/>
  <c r="A843" i="1"/>
  <c r="C843" i="1"/>
  <c r="S843" i="1"/>
  <c r="T843" i="1"/>
  <c r="U843" i="1"/>
  <c r="BB843" i="1"/>
  <c r="BD843" i="1"/>
  <c r="CE843" i="1"/>
  <c r="A844" i="1"/>
  <c r="C844" i="1"/>
  <c r="S844" i="1"/>
  <c r="T844" i="1"/>
  <c r="U844" i="1"/>
  <c r="BB844" i="1"/>
  <c r="BD844" i="1"/>
  <c r="CE844" i="1"/>
  <c r="A845" i="1"/>
  <c r="C845" i="1"/>
  <c r="S845" i="1"/>
  <c r="T845" i="1"/>
  <c r="U845" i="1"/>
  <c r="BB845" i="1"/>
  <c r="BD845" i="1"/>
  <c r="CE845" i="1"/>
  <c r="A846" i="1"/>
  <c r="C846" i="1"/>
  <c r="S846" i="1"/>
  <c r="T846" i="1"/>
  <c r="U846" i="1"/>
  <c r="BB846" i="1"/>
  <c r="BD846" i="1"/>
  <c r="CE846" i="1"/>
  <c r="A847" i="1"/>
  <c r="C847" i="1"/>
  <c r="S847" i="1"/>
  <c r="T847" i="1"/>
  <c r="U847" i="1"/>
  <c r="BB847" i="1"/>
  <c r="BD847" i="1"/>
  <c r="CE847" i="1"/>
  <c r="A848" i="1"/>
  <c r="C848" i="1"/>
  <c r="S848" i="1"/>
  <c r="T848" i="1"/>
  <c r="U848" i="1"/>
  <c r="BB848" i="1"/>
  <c r="BD848" i="1"/>
  <c r="CE848" i="1"/>
  <c r="A849" i="1"/>
  <c r="C849" i="1"/>
  <c r="S849" i="1"/>
  <c r="T849" i="1"/>
  <c r="U849" i="1"/>
  <c r="BB849" i="1"/>
  <c r="BD849" i="1"/>
  <c r="CE849" i="1"/>
  <c r="A850" i="1"/>
  <c r="C850" i="1"/>
  <c r="S850" i="1"/>
  <c r="T850" i="1"/>
  <c r="U850" i="1"/>
  <c r="BB850" i="1"/>
  <c r="BD850" i="1"/>
  <c r="CE850" i="1"/>
  <c r="A851" i="1"/>
  <c r="C851" i="1"/>
  <c r="S851" i="1"/>
  <c r="T851" i="1"/>
  <c r="U851" i="1"/>
  <c r="BB851" i="1"/>
  <c r="BD851" i="1"/>
  <c r="CE851" i="1"/>
  <c r="A852" i="1"/>
  <c r="C852" i="1"/>
  <c r="S852" i="1"/>
  <c r="T852" i="1"/>
  <c r="U852" i="1"/>
  <c r="BB852" i="1"/>
  <c r="BD852" i="1"/>
  <c r="CE852" i="1"/>
  <c r="A853" i="1"/>
  <c r="C853" i="1"/>
  <c r="S853" i="1"/>
  <c r="T853" i="1"/>
  <c r="U853" i="1"/>
  <c r="BB853" i="1"/>
  <c r="BD853" i="1"/>
  <c r="CE853" i="1"/>
  <c r="A854" i="1"/>
  <c r="C854" i="1"/>
  <c r="S854" i="1"/>
  <c r="T854" i="1"/>
  <c r="U854" i="1"/>
  <c r="BB854" i="1"/>
  <c r="BD854" i="1"/>
  <c r="CE854" i="1"/>
  <c r="A855" i="1"/>
  <c r="C855" i="1"/>
  <c r="S855" i="1"/>
  <c r="T855" i="1"/>
  <c r="U855" i="1"/>
  <c r="BB855" i="1"/>
  <c r="BD855" i="1"/>
  <c r="CE855" i="1"/>
  <c r="A856" i="1"/>
  <c r="C856" i="1"/>
  <c r="S856" i="1"/>
  <c r="T856" i="1"/>
  <c r="U856" i="1"/>
  <c r="BB856" i="1"/>
  <c r="BD856" i="1"/>
  <c r="CE856" i="1"/>
  <c r="A857" i="1"/>
  <c r="C857" i="1"/>
  <c r="S857" i="1"/>
  <c r="T857" i="1"/>
  <c r="U857" i="1"/>
  <c r="BB857" i="1"/>
  <c r="BD857" i="1"/>
  <c r="CE857" i="1"/>
  <c r="A858" i="1"/>
  <c r="C858" i="1"/>
  <c r="S858" i="1"/>
  <c r="T858" i="1"/>
  <c r="U858" i="1"/>
  <c r="BB858" i="1"/>
  <c r="BD858" i="1"/>
  <c r="CE858" i="1"/>
  <c r="A859" i="1"/>
  <c r="C859" i="1"/>
  <c r="S859" i="1"/>
  <c r="T859" i="1"/>
  <c r="U859" i="1"/>
  <c r="BB859" i="1"/>
  <c r="BD859" i="1"/>
  <c r="CE859" i="1"/>
  <c r="A860" i="1"/>
  <c r="C860" i="1"/>
  <c r="S860" i="1"/>
  <c r="T860" i="1"/>
  <c r="U860" i="1"/>
  <c r="BB860" i="1"/>
  <c r="BD860" i="1"/>
  <c r="CE860" i="1"/>
  <c r="A861" i="1"/>
  <c r="C861" i="1"/>
  <c r="S861" i="1"/>
  <c r="T861" i="1"/>
  <c r="U861" i="1"/>
  <c r="BB861" i="1"/>
  <c r="BD861" i="1"/>
  <c r="CE861" i="1"/>
  <c r="A862" i="1"/>
  <c r="C862" i="1"/>
  <c r="S862" i="1"/>
  <c r="T862" i="1"/>
  <c r="U862" i="1"/>
  <c r="BB862" i="1"/>
  <c r="BD862" i="1"/>
  <c r="CE862" i="1"/>
  <c r="A863" i="1"/>
  <c r="C863" i="1"/>
  <c r="S863" i="1"/>
  <c r="T863" i="1"/>
  <c r="U863" i="1"/>
  <c r="BB863" i="1"/>
  <c r="BD863" i="1"/>
  <c r="CE863" i="1"/>
  <c r="A864" i="1"/>
  <c r="C864" i="1"/>
  <c r="S864" i="1"/>
  <c r="T864" i="1"/>
  <c r="U864" i="1"/>
  <c r="BB864" i="1"/>
  <c r="BD864" i="1"/>
  <c r="CE864" i="1"/>
  <c r="A865" i="1"/>
  <c r="C865" i="1"/>
  <c r="S865" i="1"/>
  <c r="T865" i="1"/>
  <c r="U865" i="1"/>
  <c r="BB865" i="1"/>
  <c r="BD865" i="1"/>
  <c r="CE865" i="1"/>
  <c r="A866" i="1"/>
  <c r="C866" i="1"/>
  <c r="S866" i="1"/>
  <c r="T866" i="1"/>
  <c r="U866" i="1"/>
  <c r="BB866" i="1"/>
  <c r="BD866" i="1"/>
  <c r="CE866" i="1"/>
  <c r="A867" i="1"/>
  <c r="C867" i="1"/>
  <c r="S867" i="1"/>
  <c r="T867" i="1"/>
  <c r="U867" i="1"/>
  <c r="BB867" i="1"/>
  <c r="BD867" i="1"/>
  <c r="CE867" i="1"/>
  <c r="A868" i="1"/>
  <c r="C868" i="1"/>
  <c r="S868" i="1"/>
  <c r="T868" i="1"/>
  <c r="U868" i="1"/>
  <c r="BB868" i="1"/>
  <c r="BD868" i="1"/>
  <c r="CE868" i="1"/>
  <c r="A869" i="1"/>
  <c r="C869" i="1"/>
  <c r="S869" i="1"/>
  <c r="T869" i="1"/>
  <c r="U869" i="1"/>
  <c r="BB869" i="1"/>
  <c r="BD869" i="1"/>
  <c r="CE869" i="1"/>
  <c r="A870" i="1"/>
  <c r="C870" i="1"/>
  <c r="S870" i="1"/>
  <c r="T870" i="1"/>
  <c r="U870" i="1"/>
  <c r="BB870" i="1"/>
  <c r="BD870" i="1"/>
  <c r="CE870" i="1"/>
  <c r="A871" i="1"/>
  <c r="C871" i="1"/>
  <c r="S871" i="1"/>
  <c r="T871" i="1"/>
  <c r="U871" i="1"/>
  <c r="BB871" i="1"/>
  <c r="BD871" i="1"/>
  <c r="CE871" i="1"/>
  <c r="A872" i="1"/>
  <c r="C872" i="1"/>
  <c r="S872" i="1"/>
  <c r="T872" i="1"/>
  <c r="U872" i="1"/>
  <c r="BB872" i="1"/>
  <c r="BD872" i="1"/>
  <c r="CE872" i="1"/>
  <c r="A873" i="1"/>
  <c r="C873" i="1"/>
  <c r="S873" i="1"/>
  <c r="T873" i="1"/>
  <c r="U873" i="1"/>
  <c r="BB873" i="1"/>
  <c r="BD873" i="1"/>
  <c r="CE873" i="1"/>
  <c r="A874" i="1"/>
  <c r="C874" i="1"/>
  <c r="S874" i="1"/>
  <c r="T874" i="1"/>
  <c r="U874" i="1"/>
  <c r="BB874" i="1"/>
  <c r="BD874" i="1"/>
  <c r="CE874" i="1"/>
  <c r="A875" i="1"/>
  <c r="C875" i="1"/>
  <c r="S875" i="1"/>
  <c r="T875" i="1"/>
  <c r="U875" i="1"/>
  <c r="BB875" i="1"/>
  <c r="BD875" i="1"/>
  <c r="CE875" i="1"/>
  <c r="A876" i="1"/>
  <c r="C876" i="1"/>
  <c r="S876" i="1"/>
  <c r="T876" i="1"/>
  <c r="U876" i="1"/>
  <c r="BB876" i="1"/>
  <c r="BD876" i="1"/>
  <c r="CE876" i="1"/>
  <c r="A877" i="1"/>
  <c r="C877" i="1"/>
  <c r="S877" i="1"/>
  <c r="T877" i="1"/>
  <c r="U877" i="1"/>
  <c r="BB877" i="1"/>
  <c r="BD877" i="1"/>
  <c r="CE877" i="1"/>
  <c r="A878" i="1"/>
  <c r="C878" i="1"/>
  <c r="S878" i="1"/>
  <c r="T878" i="1"/>
  <c r="U878" i="1"/>
  <c r="BB878" i="1"/>
  <c r="BD878" i="1"/>
  <c r="CE878" i="1"/>
  <c r="A879" i="1"/>
  <c r="C879" i="1"/>
  <c r="S879" i="1"/>
  <c r="T879" i="1"/>
  <c r="U879" i="1"/>
  <c r="BB879" i="1"/>
  <c r="BD879" i="1"/>
  <c r="CE879" i="1"/>
  <c r="A880" i="1"/>
  <c r="C880" i="1"/>
  <c r="S880" i="1"/>
  <c r="T880" i="1"/>
  <c r="U880" i="1"/>
  <c r="BB880" i="1"/>
  <c r="BD880" i="1"/>
  <c r="CE880" i="1"/>
  <c r="A881" i="1"/>
  <c r="C881" i="1"/>
  <c r="S881" i="1"/>
  <c r="T881" i="1"/>
  <c r="U881" i="1"/>
  <c r="BB881" i="1"/>
  <c r="BD881" i="1"/>
  <c r="CE881" i="1"/>
  <c r="A882" i="1"/>
  <c r="C882" i="1"/>
  <c r="S882" i="1"/>
  <c r="T882" i="1"/>
  <c r="U882" i="1"/>
  <c r="BB882" i="1"/>
  <c r="BD882" i="1"/>
  <c r="CE882" i="1"/>
  <c r="A883" i="1"/>
  <c r="C883" i="1"/>
  <c r="S883" i="1"/>
  <c r="T883" i="1"/>
  <c r="U883" i="1"/>
  <c r="BB883" i="1"/>
  <c r="BD883" i="1"/>
  <c r="CE883" i="1"/>
  <c r="A884" i="1"/>
  <c r="C884" i="1"/>
  <c r="S884" i="1"/>
  <c r="T884" i="1"/>
  <c r="U884" i="1"/>
  <c r="BB884" i="1"/>
  <c r="BD884" i="1"/>
  <c r="CE884" i="1"/>
  <c r="A885" i="1"/>
  <c r="C885" i="1"/>
  <c r="S885" i="1"/>
  <c r="T885" i="1"/>
  <c r="U885" i="1"/>
  <c r="BB885" i="1"/>
  <c r="BD885" i="1"/>
  <c r="CE885" i="1"/>
  <c r="A886" i="1"/>
  <c r="C886" i="1"/>
  <c r="S886" i="1"/>
  <c r="T886" i="1"/>
  <c r="U886" i="1"/>
  <c r="BB886" i="1"/>
  <c r="BD886" i="1"/>
  <c r="CE886" i="1"/>
  <c r="A887" i="1"/>
  <c r="C887" i="1"/>
  <c r="S887" i="1"/>
  <c r="T887" i="1"/>
  <c r="U887" i="1"/>
  <c r="BB887" i="1"/>
  <c r="BD887" i="1"/>
  <c r="CE887" i="1"/>
  <c r="A888" i="1"/>
  <c r="C888" i="1"/>
  <c r="S888" i="1"/>
  <c r="T888" i="1"/>
  <c r="U888" i="1"/>
  <c r="BB888" i="1"/>
  <c r="BD888" i="1"/>
  <c r="CE888" i="1"/>
  <c r="A889" i="1"/>
  <c r="C889" i="1"/>
  <c r="S889" i="1"/>
  <c r="T889" i="1"/>
  <c r="U889" i="1"/>
  <c r="BB889" i="1"/>
  <c r="BD889" i="1"/>
  <c r="CE889" i="1"/>
  <c r="A890" i="1"/>
  <c r="C890" i="1"/>
  <c r="S890" i="1"/>
  <c r="T890" i="1"/>
  <c r="U890" i="1"/>
  <c r="BB890" i="1"/>
  <c r="BD890" i="1"/>
  <c r="CE890" i="1"/>
  <c r="A891" i="1"/>
  <c r="C891" i="1"/>
  <c r="S891" i="1"/>
  <c r="T891" i="1"/>
  <c r="U891" i="1"/>
  <c r="BB891" i="1"/>
  <c r="BD891" i="1"/>
  <c r="CE891" i="1"/>
  <c r="A892" i="1"/>
  <c r="C892" i="1"/>
  <c r="S892" i="1"/>
  <c r="T892" i="1"/>
  <c r="U892" i="1"/>
  <c r="BB892" i="1"/>
  <c r="BD892" i="1"/>
  <c r="CE892" i="1"/>
  <c r="A893" i="1"/>
  <c r="C893" i="1"/>
  <c r="S893" i="1"/>
  <c r="T893" i="1"/>
  <c r="U893" i="1"/>
  <c r="BB893" i="1"/>
  <c r="BD893" i="1"/>
  <c r="CE893" i="1"/>
  <c r="A894" i="1"/>
  <c r="C894" i="1"/>
  <c r="S894" i="1"/>
  <c r="T894" i="1"/>
  <c r="U894" i="1"/>
  <c r="BB894" i="1"/>
  <c r="BD894" i="1"/>
  <c r="CE894" i="1"/>
  <c r="A895" i="1"/>
  <c r="C895" i="1"/>
  <c r="S895" i="1"/>
  <c r="T895" i="1"/>
  <c r="U895" i="1"/>
  <c r="BB895" i="1"/>
  <c r="BD895" i="1"/>
  <c r="CE895" i="1"/>
  <c r="A896" i="1"/>
  <c r="C896" i="1"/>
  <c r="S896" i="1"/>
  <c r="T896" i="1"/>
  <c r="U896" i="1"/>
  <c r="BB896" i="1"/>
  <c r="BD896" i="1"/>
  <c r="CE896" i="1"/>
  <c r="A897" i="1"/>
  <c r="C897" i="1"/>
  <c r="S897" i="1"/>
  <c r="T897" i="1"/>
  <c r="U897" i="1"/>
  <c r="BB897" i="1"/>
  <c r="BD897" i="1"/>
  <c r="CE897" i="1"/>
  <c r="A898" i="1"/>
  <c r="C898" i="1"/>
  <c r="S898" i="1"/>
  <c r="T898" i="1"/>
  <c r="U898" i="1"/>
  <c r="BB898" i="1"/>
  <c r="BD898" i="1"/>
  <c r="CE898" i="1"/>
  <c r="A899" i="1"/>
  <c r="C899" i="1"/>
  <c r="S899" i="1"/>
  <c r="T899" i="1"/>
  <c r="U899" i="1"/>
  <c r="BB899" i="1"/>
  <c r="BD899" i="1"/>
  <c r="CE899" i="1"/>
  <c r="A900" i="1"/>
  <c r="C900" i="1"/>
  <c r="S900" i="1"/>
  <c r="T900" i="1"/>
  <c r="U900" i="1"/>
  <c r="BB900" i="1"/>
  <c r="BD900" i="1"/>
  <c r="CE900" i="1"/>
  <c r="A901" i="1"/>
  <c r="C901" i="1"/>
  <c r="S901" i="1"/>
  <c r="T901" i="1"/>
  <c r="U901" i="1"/>
  <c r="BB901" i="1"/>
  <c r="BD901" i="1"/>
  <c r="CE901" i="1"/>
  <c r="A902" i="1"/>
  <c r="C902" i="1"/>
  <c r="S902" i="1"/>
  <c r="T902" i="1"/>
  <c r="U902" i="1"/>
  <c r="BB902" i="1"/>
  <c r="BD902" i="1"/>
  <c r="CE902" i="1"/>
  <c r="A903" i="1"/>
  <c r="C903" i="1"/>
  <c r="S903" i="1"/>
  <c r="T903" i="1"/>
  <c r="U903" i="1"/>
  <c r="BB903" i="1"/>
  <c r="BD903" i="1"/>
  <c r="CE903" i="1"/>
  <c r="A904" i="1"/>
  <c r="C904" i="1"/>
  <c r="S904" i="1"/>
  <c r="T904" i="1"/>
  <c r="U904" i="1"/>
  <c r="BB904" i="1"/>
  <c r="BD904" i="1"/>
  <c r="CE904" i="1"/>
  <c r="A905" i="1"/>
  <c r="C905" i="1"/>
  <c r="S905" i="1"/>
  <c r="T905" i="1"/>
  <c r="U905" i="1"/>
  <c r="BB905" i="1"/>
  <c r="BD905" i="1"/>
  <c r="CE905" i="1"/>
  <c r="A906" i="1"/>
  <c r="C906" i="1"/>
  <c r="S906" i="1"/>
  <c r="T906" i="1"/>
  <c r="U906" i="1"/>
  <c r="BB906" i="1"/>
  <c r="BD906" i="1"/>
  <c r="CE906" i="1"/>
  <c r="A907" i="1"/>
  <c r="C907" i="1"/>
  <c r="S907" i="1"/>
  <c r="T907" i="1"/>
  <c r="U907" i="1"/>
  <c r="BB907" i="1"/>
  <c r="BD907" i="1"/>
  <c r="CE907" i="1"/>
  <c r="A908" i="1"/>
  <c r="C908" i="1"/>
  <c r="S908" i="1"/>
  <c r="T908" i="1"/>
  <c r="U908" i="1"/>
  <c r="BB908" i="1"/>
  <c r="BD908" i="1"/>
  <c r="CE908" i="1"/>
  <c r="A909" i="1"/>
  <c r="C909" i="1"/>
  <c r="S909" i="1"/>
  <c r="T909" i="1"/>
  <c r="U909" i="1"/>
  <c r="BB909" i="1"/>
  <c r="BD909" i="1"/>
  <c r="CE909" i="1"/>
  <c r="A910" i="1"/>
  <c r="C910" i="1"/>
  <c r="S910" i="1"/>
  <c r="T910" i="1"/>
  <c r="U910" i="1"/>
  <c r="BB910" i="1"/>
  <c r="BD910" i="1"/>
  <c r="CE910" i="1"/>
  <c r="A911" i="1"/>
  <c r="C911" i="1"/>
  <c r="S911" i="1"/>
  <c r="T911" i="1"/>
  <c r="U911" i="1"/>
  <c r="BB911" i="1"/>
  <c r="BD911" i="1"/>
  <c r="CE911" i="1"/>
  <c r="A912" i="1"/>
  <c r="C912" i="1"/>
  <c r="S912" i="1"/>
  <c r="T912" i="1"/>
  <c r="U912" i="1"/>
  <c r="BB912" i="1"/>
  <c r="BD912" i="1"/>
  <c r="CE912" i="1"/>
  <c r="A913" i="1"/>
  <c r="C913" i="1"/>
  <c r="S913" i="1"/>
  <c r="T913" i="1"/>
  <c r="U913" i="1"/>
  <c r="BB913" i="1"/>
  <c r="BD913" i="1"/>
  <c r="CE913" i="1"/>
  <c r="A914" i="1"/>
  <c r="C914" i="1"/>
  <c r="S914" i="1"/>
  <c r="T914" i="1"/>
  <c r="U914" i="1"/>
  <c r="BB914" i="1"/>
  <c r="BD914" i="1"/>
  <c r="CE914" i="1"/>
  <c r="A915" i="1"/>
  <c r="C915" i="1"/>
  <c r="S915" i="1"/>
  <c r="T915" i="1"/>
  <c r="U915" i="1"/>
  <c r="BB915" i="1"/>
  <c r="BD915" i="1"/>
  <c r="CE915" i="1"/>
  <c r="A916" i="1"/>
  <c r="C916" i="1"/>
  <c r="S916" i="1"/>
  <c r="T916" i="1"/>
  <c r="U916" i="1"/>
  <c r="BB916" i="1"/>
  <c r="BD916" i="1"/>
  <c r="CE916" i="1"/>
  <c r="A917" i="1"/>
  <c r="C917" i="1"/>
  <c r="S917" i="1"/>
  <c r="T917" i="1"/>
  <c r="U917" i="1"/>
  <c r="BB917" i="1"/>
  <c r="BD917" i="1"/>
  <c r="CE917" i="1"/>
  <c r="A918" i="1"/>
  <c r="C918" i="1"/>
  <c r="S918" i="1"/>
  <c r="T918" i="1"/>
  <c r="U918" i="1"/>
  <c r="BB918" i="1"/>
  <c r="BD918" i="1"/>
  <c r="CE918" i="1"/>
  <c r="A919" i="1"/>
  <c r="C919" i="1"/>
  <c r="S919" i="1"/>
  <c r="T919" i="1"/>
  <c r="U919" i="1"/>
  <c r="BB919" i="1"/>
  <c r="BD919" i="1"/>
  <c r="CE919" i="1"/>
  <c r="A920" i="1"/>
  <c r="C920" i="1"/>
  <c r="S920" i="1"/>
  <c r="T920" i="1"/>
  <c r="U920" i="1"/>
  <c r="BB920" i="1"/>
  <c r="BD920" i="1"/>
  <c r="CE920" i="1"/>
  <c r="A921" i="1"/>
  <c r="C921" i="1"/>
  <c r="S921" i="1"/>
  <c r="T921" i="1"/>
  <c r="U921" i="1"/>
  <c r="BB921" i="1"/>
  <c r="BD921" i="1"/>
  <c r="CE921" i="1"/>
  <c r="A922" i="1"/>
  <c r="C922" i="1"/>
  <c r="S922" i="1"/>
  <c r="T922" i="1"/>
  <c r="U922" i="1"/>
  <c r="BB922" i="1"/>
  <c r="BD922" i="1"/>
  <c r="CE922" i="1"/>
  <c r="A923" i="1"/>
  <c r="C923" i="1"/>
  <c r="S923" i="1"/>
  <c r="T923" i="1"/>
  <c r="U923" i="1"/>
  <c r="BB923" i="1"/>
  <c r="BD923" i="1"/>
  <c r="CE923" i="1"/>
  <c r="A924" i="1"/>
  <c r="C924" i="1"/>
  <c r="S924" i="1"/>
  <c r="T924" i="1"/>
  <c r="U924" i="1"/>
  <c r="BB924" i="1"/>
  <c r="BD924" i="1"/>
  <c r="CE924" i="1"/>
  <c r="A925" i="1"/>
  <c r="C925" i="1"/>
  <c r="S925" i="1"/>
  <c r="T925" i="1"/>
  <c r="U925" i="1"/>
  <c r="BB925" i="1"/>
  <c r="BD925" i="1"/>
  <c r="CE925" i="1"/>
  <c r="A926" i="1"/>
  <c r="C926" i="1"/>
  <c r="S926" i="1"/>
  <c r="T926" i="1"/>
  <c r="U926" i="1"/>
  <c r="BB926" i="1"/>
  <c r="BD926" i="1"/>
  <c r="CE926" i="1"/>
  <c r="A927" i="1"/>
  <c r="C927" i="1"/>
  <c r="S927" i="1"/>
  <c r="T927" i="1"/>
  <c r="U927" i="1"/>
  <c r="BB927" i="1"/>
  <c r="BD927" i="1"/>
  <c r="CE927" i="1"/>
  <c r="A928" i="1"/>
  <c r="C928" i="1"/>
  <c r="S928" i="1"/>
  <c r="T928" i="1"/>
  <c r="U928" i="1"/>
  <c r="BB928" i="1"/>
  <c r="BD928" i="1"/>
  <c r="CE928" i="1"/>
  <c r="A929" i="1"/>
  <c r="C929" i="1"/>
  <c r="S929" i="1"/>
  <c r="T929" i="1"/>
  <c r="U929" i="1"/>
  <c r="BB929" i="1"/>
  <c r="BD929" i="1"/>
  <c r="CE929" i="1"/>
  <c r="A930" i="1"/>
  <c r="C930" i="1"/>
  <c r="S930" i="1"/>
  <c r="T930" i="1"/>
  <c r="U930" i="1"/>
  <c r="BB930" i="1"/>
  <c r="BD930" i="1"/>
  <c r="CE930" i="1"/>
  <c r="A931" i="1"/>
  <c r="C931" i="1"/>
  <c r="S931" i="1"/>
  <c r="T931" i="1"/>
  <c r="U931" i="1"/>
  <c r="BB931" i="1"/>
  <c r="BD931" i="1"/>
  <c r="CE931" i="1"/>
  <c r="A932" i="1"/>
  <c r="C932" i="1"/>
  <c r="S932" i="1"/>
  <c r="T932" i="1"/>
  <c r="U932" i="1"/>
  <c r="BB932" i="1"/>
  <c r="BD932" i="1"/>
  <c r="CE932" i="1"/>
  <c r="A933" i="1"/>
  <c r="C933" i="1"/>
  <c r="S933" i="1"/>
  <c r="T933" i="1"/>
  <c r="U933" i="1"/>
  <c r="BB933" i="1"/>
  <c r="BD933" i="1"/>
  <c r="CE933" i="1"/>
  <c r="A934" i="1"/>
  <c r="C934" i="1"/>
  <c r="S934" i="1"/>
  <c r="T934" i="1"/>
  <c r="U934" i="1"/>
  <c r="BB934" i="1"/>
  <c r="BD934" i="1"/>
  <c r="CE934" i="1"/>
  <c r="A935" i="1"/>
  <c r="C935" i="1"/>
  <c r="S935" i="1"/>
  <c r="T935" i="1"/>
  <c r="U935" i="1"/>
  <c r="BB935" i="1"/>
  <c r="BD935" i="1"/>
  <c r="CE935" i="1"/>
  <c r="A936" i="1"/>
  <c r="C936" i="1"/>
  <c r="S936" i="1"/>
  <c r="T936" i="1"/>
  <c r="U936" i="1"/>
  <c r="BB936" i="1"/>
  <c r="BD936" i="1"/>
  <c r="CE936" i="1"/>
  <c r="A937" i="1"/>
  <c r="C937" i="1"/>
  <c r="S937" i="1"/>
  <c r="T937" i="1"/>
  <c r="U937" i="1"/>
  <c r="BB937" i="1"/>
  <c r="BD937" i="1"/>
  <c r="CE937" i="1"/>
  <c r="A938" i="1"/>
  <c r="C938" i="1"/>
  <c r="S938" i="1"/>
  <c r="T938" i="1"/>
  <c r="U938" i="1"/>
  <c r="BB938" i="1"/>
  <c r="BD938" i="1"/>
  <c r="CE938" i="1"/>
  <c r="A939" i="1"/>
  <c r="C939" i="1"/>
  <c r="S939" i="1"/>
  <c r="T939" i="1"/>
  <c r="U939" i="1"/>
  <c r="BB939" i="1"/>
  <c r="BD939" i="1"/>
  <c r="CE939" i="1"/>
  <c r="A940" i="1"/>
  <c r="C940" i="1"/>
  <c r="S940" i="1"/>
  <c r="T940" i="1"/>
  <c r="U940" i="1"/>
  <c r="BB940" i="1"/>
  <c r="BD940" i="1"/>
  <c r="CE940" i="1"/>
  <c r="A941" i="1"/>
  <c r="C941" i="1"/>
  <c r="S941" i="1"/>
  <c r="T941" i="1"/>
  <c r="U941" i="1"/>
  <c r="BB941" i="1"/>
  <c r="BD941" i="1"/>
  <c r="CE941" i="1"/>
  <c r="A942" i="1"/>
  <c r="C942" i="1"/>
  <c r="S942" i="1"/>
  <c r="T942" i="1"/>
  <c r="U942" i="1"/>
  <c r="BB942" i="1"/>
  <c r="BD942" i="1"/>
  <c r="CE942" i="1"/>
  <c r="A943" i="1"/>
  <c r="C943" i="1"/>
  <c r="S943" i="1"/>
  <c r="T943" i="1"/>
  <c r="U943" i="1"/>
  <c r="BB943" i="1"/>
  <c r="BD943" i="1"/>
  <c r="CE943" i="1"/>
  <c r="A944" i="1"/>
  <c r="C944" i="1"/>
  <c r="S944" i="1"/>
  <c r="T944" i="1"/>
  <c r="U944" i="1"/>
  <c r="BB944" i="1"/>
  <c r="BD944" i="1"/>
  <c r="CE944" i="1"/>
  <c r="A945" i="1"/>
  <c r="C945" i="1"/>
  <c r="S945" i="1"/>
  <c r="T945" i="1"/>
  <c r="U945" i="1"/>
  <c r="BB945" i="1"/>
  <c r="BD945" i="1"/>
  <c r="CE945" i="1"/>
  <c r="A946" i="1"/>
  <c r="C946" i="1"/>
  <c r="S946" i="1"/>
  <c r="T946" i="1"/>
  <c r="U946" i="1"/>
  <c r="BB946" i="1"/>
  <c r="BD946" i="1"/>
  <c r="CE946" i="1"/>
  <c r="A947" i="1"/>
  <c r="C947" i="1"/>
  <c r="S947" i="1"/>
  <c r="T947" i="1"/>
  <c r="U947" i="1"/>
  <c r="BB947" i="1"/>
  <c r="BD947" i="1"/>
  <c r="CE947" i="1"/>
  <c r="A948" i="1"/>
  <c r="C948" i="1"/>
  <c r="S948" i="1"/>
  <c r="T948" i="1"/>
  <c r="U948" i="1"/>
  <c r="BB948" i="1"/>
  <c r="BD948" i="1"/>
  <c r="CE948" i="1"/>
  <c r="A949" i="1"/>
  <c r="C949" i="1"/>
  <c r="S949" i="1"/>
  <c r="T949" i="1"/>
  <c r="U949" i="1"/>
  <c r="BB949" i="1"/>
  <c r="BD949" i="1"/>
  <c r="CE949" i="1"/>
  <c r="A950" i="1"/>
  <c r="C950" i="1"/>
  <c r="S950" i="1"/>
  <c r="T950" i="1"/>
  <c r="U950" i="1"/>
  <c r="BB950" i="1"/>
  <c r="BD950" i="1"/>
  <c r="CE950" i="1"/>
  <c r="A951" i="1"/>
  <c r="C951" i="1"/>
  <c r="S951" i="1"/>
  <c r="T951" i="1"/>
  <c r="U951" i="1"/>
  <c r="BB951" i="1"/>
  <c r="BD951" i="1"/>
  <c r="CE951" i="1"/>
  <c r="A952" i="1"/>
  <c r="C952" i="1"/>
  <c r="S952" i="1"/>
  <c r="T952" i="1"/>
  <c r="U952" i="1"/>
  <c r="BB952" i="1"/>
  <c r="BD952" i="1"/>
  <c r="CE952" i="1"/>
  <c r="A953" i="1"/>
  <c r="C953" i="1"/>
  <c r="S953" i="1"/>
  <c r="T953" i="1"/>
  <c r="U953" i="1"/>
  <c r="BB953" i="1"/>
  <c r="BD953" i="1"/>
  <c r="CE953" i="1"/>
  <c r="A954" i="1"/>
  <c r="C954" i="1"/>
  <c r="S954" i="1"/>
  <c r="T954" i="1"/>
  <c r="U954" i="1"/>
  <c r="BB954" i="1"/>
  <c r="BD954" i="1"/>
  <c r="CE954" i="1"/>
  <c r="A955" i="1"/>
  <c r="C955" i="1"/>
  <c r="S955" i="1"/>
  <c r="T955" i="1"/>
  <c r="U955" i="1"/>
  <c r="BB955" i="1"/>
  <c r="BD955" i="1"/>
  <c r="CE955" i="1"/>
  <c r="A956" i="1"/>
  <c r="C956" i="1"/>
  <c r="S956" i="1"/>
  <c r="T956" i="1"/>
  <c r="U956" i="1"/>
  <c r="BB956" i="1"/>
  <c r="BD956" i="1"/>
  <c r="CE956" i="1"/>
  <c r="A957" i="1"/>
  <c r="C957" i="1"/>
  <c r="S957" i="1"/>
  <c r="T957" i="1"/>
  <c r="U957" i="1"/>
  <c r="BB957" i="1"/>
  <c r="BD957" i="1"/>
  <c r="CE957" i="1"/>
  <c r="A958" i="1"/>
  <c r="C958" i="1"/>
  <c r="S958" i="1"/>
  <c r="T958" i="1"/>
  <c r="U958" i="1"/>
  <c r="BB958" i="1"/>
  <c r="BD958" i="1"/>
  <c r="CE958" i="1"/>
  <c r="A959" i="1"/>
  <c r="C959" i="1"/>
  <c r="S959" i="1"/>
  <c r="T959" i="1"/>
  <c r="U959" i="1"/>
  <c r="BB959" i="1"/>
  <c r="BD959" i="1"/>
  <c r="CE959" i="1"/>
  <c r="A960" i="1"/>
  <c r="C960" i="1"/>
  <c r="S960" i="1"/>
  <c r="T960" i="1"/>
  <c r="U960" i="1"/>
  <c r="BB960" i="1"/>
  <c r="BD960" i="1"/>
  <c r="CE960" i="1"/>
  <c r="A961" i="1"/>
  <c r="C961" i="1"/>
  <c r="S961" i="1"/>
  <c r="T961" i="1"/>
  <c r="U961" i="1"/>
  <c r="BB961" i="1"/>
  <c r="BD961" i="1"/>
  <c r="CE961" i="1"/>
  <c r="A962" i="1"/>
  <c r="C962" i="1"/>
  <c r="S962" i="1"/>
  <c r="T962" i="1"/>
  <c r="U962" i="1"/>
  <c r="BB962" i="1"/>
  <c r="BD962" i="1"/>
  <c r="CE962" i="1"/>
  <c r="A963" i="1"/>
  <c r="C963" i="1"/>
  <c r="S963" i="1"/>
  <c r="T963" i="1"/>
  <c r="U963" i="1"/>
  <c r="BB963" i="1"/>
  <c r="BD963" i="1"/>
  <c r="CE963" i="1"/>
  <c r="A964" i="1"/>
  <c r="C964" i="1"/>
  <c r="S964" i="1"/>
  <c r="T964" i="1"/>
  <c r="U964" i="1"/>
  <c r="BB964" i="1"/>
  <c r="BD964" i="1"/>
  <c r="CE964" i="1"/>
  <c r="A965" i="1"/>
  <c r="C965" i="1"/>
  <c r="S965" i="1"/>
  <c r="T965" i="1"/>
  <c r="U965" i="1"/>
  <c r="BB965" i="1"/>
  <c r="BD965" i="1"/>
  <c r="CE965" i="1"/>
  <c r="A966" i="1"/>
  <c r="C966" i="1"/>
  <c r="S966" i="1"/>
  <c r="T966" i="1"/>
  <c r="U966" i="1"/>
  <c r="BB966" i="1"/>
  <c r="BD966" i="1"/>
  <c r="CE966" i="1"/>
  <c r="A967" i="1"/>
  <c r="C967" i="1"/>
  <c r="S967" i="1"/>
  <c r="T967" i="1"/>
  <c r="U967" i="1"/>
  <c r="BB967" i="1"/>
  <c r="BD967" i="1"/>
  <c r="CE967" i="1"/>
  <c r="A968" i="1"/>
  <c r="C968" i="1"/>
  <c r="S968" i="1"/>
  <c r="T968" i="1"/>
  <c r="U968" i="1"/>
  <c r="BB968" i="1"/>
  <c r="BD968" i="1"/>
  <c r="CE968" i="1"/>
  <c r="A969" i="1"/>
  <c r="C969" i="1"/>
  <c r="S969" i="1"/>
  <c r="T969" i="1"/>
  <c r="U969" i="1"/>
  <c r="BB969" i="1"/>
  <c r="BD969" i="1"/>
  <c r="CE969" i="1"/>
  <c r="A970" i="1"/>
  <c r="C970" i="1"/>
  <c r="S970" i="1"/>
  <c r="T970" i="1"/>
  <c r="U970" i="1"/>
  <c r="BB970" i="1"/>
  <c r="BD970" i="1"/>
  <c r="CE970" i="1"/>
  <c r="A971" i="1"/>
  <c r="C971" i="1"/>
  <c r="S971" i="1"/>
  <c r="T971" i="1"/>
  <c r="U971" i="1"/>
  <c r="BB971" i="1"/>
  <c r="BD971" i="1"/>
  <c r="CE971" i="1"/>
  <c r="A972" i="1"/>
  <c r="C972" i="1"/>
  <c r="S972" i="1"/>
  <c r="T972" i="1"/>
  <c r="U972" i="1"/>
  <c r="BB972" i="1"/>
  <c r="BD972" i="1"/>
  <c r="CE972" i="1"/>
  <c r="A973" i="1"/>
  <c r="C973" i="1"/>
  <c r="S973" i="1"/>
  <c r="T973" i="1"/>
  <c r="U973" i="1"/>
  <c r="BB973" i="1"/>
  <c r="BD973" i="1"/>
  <c r="CE973" i="1"/>
  <c r="A974" i="1"/>
  <c r="C974" i="1"/>
  <c r="S974" i="1"/>
  <c r="T974" i="1"/>
  <c r="U974" i="1"/>
  <c r="BB974" i="1"/>
  <c r="BD974" i="1"/>
  <c r="CE974" i="1"/>
  <c r="A975" i="1"/>
  <c r="C975" i="1"/>
  <c r="S975" i="1"/>
  <c r="T975" i="1"/>
  <c r="U975" i="1"/>
  <c r="BB975" i="1"/>
  <c r="BD975" i="1"/>
  <c r="CE975" i="1"/>
  <c r="A976" i="1"/>
  <c r="C976" i="1"/>
  <c r="S976" i="1"/>
  <c r="T976" i="1"/>
  <c r="U976" i="1"/>
  <c r="BB976" i="1"/>
  <c r="BD976" i="1"/>
  <c r="CE976" i="1"/>
  <c r="A977" i="1"/>
  <c r="C977" i="1"/>
  <c r="S977" i="1"/>
  <c r="T977" i="1"/>
  <c r="U977" i="1"/>
  <c r="BB977" i="1"/>
  <c r="BD977" i="1"/>
  <c r="CE977" i="1"/>
  <c r="A978" i="1"/>
  <c r="C978" i="1"/>
  <c r="S978" i="1"/>
  <c r="T978" i="1"/>
  <c r="U978" i="1"/>
  <c r="BB978" i="1"/>
  <c r="BD978" i="1"/>
  <c r="CE978" i="1"/>
  <c r="A979" i="1"/>
  <c r="C979" i="1"/>
  <c r="S979" i="1"/>
  <c r="T979" i="1"/>
  <c r="U979" i="1"/>
  <c r="BB979" i="1"/>
  <c r="BD979" i="1"/>
  <c r="CE979" i="1"/>
  <c r="A980" i="1"/>
  <c r="C980" i="1"/>
  <c r="S980" i="1"/>
  <c r="T980" i="1"/>
  <c r="U980" i="1"/>
  <c r="BB980" i="1"/>
  <c r="BD980" i="1"/>
  <c r="CE980" i="1"/>
  <c r="A981" i="1"/>
  <c r="C981" i="1"/>
  <c r="S981" i="1"/>
  <c r="T981" i="1"/>
  <c r="U981" i="1"/>
  <c r="BB981" i="1"/>
  <c r="BD981" i="1"/>
  <c r="CE981" i="1"/>
  <c r="A982" i="1"/>
  <c r="C982" i="1"/>
  <c r="S982" i="1"/>
  <c r="T982" i="1"/>
  <c r="U982" i="1"/>
  <c r="BB982" i="1"/>
  <c r="BD982" i="1"/>
  <c r="CE982" i="1"/>
  <c r="A983" i="1"/>
  <c r="C983" i="1"/>
  <c r="S983" i="1"/>
  <c r="T983" i="1"/>
  <c r="U983" i="1"/>
  <c r="BB983" i="1"/>
  <c r="BD983" i="1"/>
  <c r="CE983" i="1"/>
  <c r="A984" i="1"/>
  <c r="C984" i="1"/>
  <c r="S984" i="1"/>
  <c r="T984" i="1"/>
  <c r="U984" i="1"/>
  <c r="BB984" i="1"/>
  <c r="BD984" i="1"/>
  <c r="CE984" i="1"/>
  <c r="A985" i="1"/>
  <c r="C985" i="1"/>
  <c r="S985" i="1"/>
  <c r="T985" i="1"/>
  <c r="U985" i="1"/>
  <c r="BB985" i="1"/>
  <c r="BD985" i="1"/>
  <c r="CE985" i="1"/>
  <c r="A986" i="1"/>
  <c r="C986" i="1"/>
  <c r="S986" i="1"/>
  <c r="T986" i="1"/>
  <c r="U986" i="1"/>
  <c r="BB986" i="1"/>
  <c r="BD986" i="1"/>
  <c r="CE986" i="1"/>
  <c r="A987" i="1"/>
  <c r="C987" i="1"/>
  <c r="S987" i="1"/>
  <c r="T987" i="1"/>
  <c r="U987" i="1"/>
  <c r="BB987" i="1"/>
  <c r="BD987" i="1"/>
  <c r="CE987" i="1"/>
  <c r="A988" i="1"/>
  <c r="C988" i="1"/>
  <c r="S988" i="1"/>
  <c r="T988" i="1"/>
  <c r="U988" i="1"/>
  <c r="BB988" i="1"/>
  <c r="BD988" i="1"/>
  <c r="CE988" i="1"/>
  <c r="A989" i="1"/>
  <c r="C989" i="1"/>
  <c r="S989" i="1"/>
  <c r="T989" i="1"/>
  <c r="U989" i="1"/>
  <c r="BB989" i="1"/>
  <c r="BD989" i="1"/>
  <c r="CE989" i="1"/>
  <c r="A990" i="1"/>
  <c r="C990" i="1"/>
  <c r="S990" i="1"/>
  <c r="T990" i="1"/>
  <c r="U990" i="1"/>
  <c r="BB990" i="1"/>
  <c r="BD990" i="1"/>
  <c r="CE990" i="1"/>
  <c r="A991" i="1"/>
  <c r="C991" i="1"/>
  <c r="S991" i="1"/>
  <c r="T991" i="1"/>
  <c r="U991" i="1"/>
  <c r="BB991" i="1"/>
  <c r="BD991" i="1"/>
  <c r="CE991" i="1"/>
  <c r="A992" i="1"/>
  <c r="C992" i="1"/>
  <c r="S992" i="1"/>
  <c r="T992" i="1"/>
  <c r="U992" i="1"/>
  <c r="BB992" i="1"/>
  <c r="BD992" i="1"/>
  <c r="CE992" i="1"/>
  <c r="A993" i="1"/>
  <c r="C993" i="1"/>
  <c r="S993" i="1"/>
  <c r="T993" i="1"/>
  <c r="U993" i="1"/>
  <c r="BB993" i="1"/>
  <c r="BD993" i="1"/>
  <c r="CE993" i="1"/>
  <c r="A994" i="1"/>
  <c r="C994" i="1"/>
  <c r="S994" i="1"/>
  <c r="T994" i="1"/>
  <c r="U994" i="1"/>
  <c r="BB994" i="1"/>
  <c r="BD994" i="1"/>
  <c r="CE994" i="1"/>
  <c r="A995" i="1"/>
  <c r="C995" i="1"/>
  <c r="S995" i="1"/>
  <c r="T995" i="1"/>
  <c r="U995" i="1"/>
  <c r="BB995" i="1"/>
  <c r="BD995" i="1"/>
  <c r="CE995" i="1"/>
  <c r="A996" i="1"/>
  <c r="C996" i="1"/>
  <c r="S996" i="1"/>
  <c r="T996" i="1"/>
  <c r="U996" i="1"/>
  <c r="BB996" i="1"/>
  <c r="BD996" i="1"/>
  <c r="CE996" i="1"/>
  <c r="A997" i="1"/>
  <c r="C997" i="1"/>
  <c r="S997" i="1"/>
  <c r="T997" i="1"/>
  <c r="U997" i="1"/>
  <c r="BB997" i="1"/>
  <c r="BD997" i="1"/>
  <c r="CE997" i="1"/>
  <c r="A998" i="1"/>
  <c r="C998" i="1"/>
  <c r="S998" i="1"/>
  <c r="T998" i="1"/>
  <c r="U998" i="1"/>
  <c r="BB998" i="1"/>
  <c r="BD998" i="1"/>
  <c r="CE998" i="1"/>
  <c r="A999" i="1"/>
  <c r="C999" i="1"/>
  <c r="S999" i="1"/>
  <c r="T999" i="1"/>
  <c r="U999" i="1"/>
  <c r="BB999" i="1"/>
  <c r="BD999" i="1"/>
  <c r="CE999" i="1"/>
  <c r="A1000" i="1"/>
  <c r="C1000" i="1"/>
  <c r="S1000" i="1"/>
  <c r="T1000" i="1"/>
  <c r="U1000" i="1"/>
  <c r="BB1000" i="1"/>
  <c r="BD1000" i="1"/>
  <c r="CE1000" i="1"/>
  <c r="A1001" i="1"/>
  <c r="C1001" i="1"/>
  <c r="S1001" i="1"/>
  <c r="T1001" i="1"/>
  <c r="U1001" i="1"/>
  <c r="BB1001" i="1"/>
  <c r="BD1001" i="1"/>
  <c r="CE1001" i="1"/>
  <c r="A1002" i="1"/>
  <c r="C1002" i="1"/>
  <c r="S1002" i="1"/>
  <c r="T1002" i="1"/>
  <c r="U1002" i="1"/>
  <c r="BB1002" i="1"/>
  <c r="BD1002" i="1"/>
  <c r="CE1002" i="1"/>
  <c r="A1003" i="1"/>
  <c r="C1003" i="1"/>
  <c r="S1003" i="1"/>
  <c r="T1003" i="1"/>
  <c r="U1003" i="1"/>
  <c r="BB1003" i="1"/>
  <c r="BD1003" i="1"/>
  <c r="CE1003" i="1"/>
  <c r="A1004" i="1"/>
  <c r="C1004" i="1"/>
  <c r="S1004" i="1"/>
  <c r="T1004" i="1"/>
  <c r="U1004" i="1"/>
  <c r="BB1004" i="1"/>
  <c r="BD1004" i="1"/>
  <c r="CE1004" i="1"/>
  <c r="A1005" i="1"/>
  <c r="C1005" i="1"/>
  <c r="S1005" i="1"/>
  <c r="T1005" i="1"/>
  <c r="U1005" i="1"/>
  <c r="BB1005" i="1"/>
  <c r="BD1005" i="1"/>
  <c r="CE1005" i="1"/>
  <c r="A1006" i="1"/>
  <c r="C1006" i="1"/>
  <c r="S1006" i="1"/>
  <c r="T1006" i="1"/>
  <c r="U1006" i="1"/>
  <c r="BB1006" i="1"/>
  <c r="BD1006" i="1"/>
  <c r="CE1006" i="1"/>
  <c r="A1007" i="1"/>
  <c r="C1007" i="1"/>
  <c r="S1007" i="1"/>
  <c r="T1007" i="1"/>
  <c r="U1007" i="1"/>
  <c r="BB1007" i="1"/>
  <c r="BD1007" i="1"/>
  <c r="CE1007" i="1"/>
  <c r="A1008" i="1"/>
  <c r="C1008" i="1"/>
  <c r="S1008" i="1"/>
  <c r="T1008" i="1"/>
  <c r="U1008" i="1"/>
  <c r="BB1008" i="1"/>
  <c r="BD1008" i="1"/>
  <c r="CE1008" i="1"/>
  <c r="A1009" i="1"/>
  <c r="C1009" i="1"/>
  <c r="S1009" i="1"/>
  <c r="T1009" i="1"/>
  <c r="U1009" i="1"/>
  <c r="BB1009" i="1"/>
  <c r="BD1009" i="1"/>
  <c r="CE1009" i="1"/>
  <c r="A1010" i="1"/>
  <c r="C1010" i="1"/>
  <c r="S1010" i="1"/>
  <c r="T1010" i="1"/>
  <c r="U1010" i="1"/>
  <c r="BB1010" i="1"/>
  <c r="BD1010" i="1"/>
  <c r="CE1010" i="1"/>
  <c r="A1011" i="1"/>
  <c r="C1011" i="1"/>
  <c r="S1011" i="1"/>
  <c r="T1011" i="1"/>
  <c r="U1011" i="1"/>
  <c r="BB1011" i="1"/>
  <c r="BD1011" i="1"/>
  <c r="CE1011" i="1"/>
  <c r="A1012" i="1"/>
  <c r="C1012" i="1"/>
  <c r="S1012" i="1"/>
  <c r="T1012" i="1"/>
  <c r="U1012" i="1"/>
  <c r="BB1012" i="1"/>
  <c r="BD1012" i="1"/>
  <c r="CE1012" i="1"/>
  <c r="A1013" i="1"/>
  <c r="C1013" i="1"/>
  <c r="S1013" i="1"/>
  <c r="T1013" i="1"/>
  <c r="U1013" i="1"/>
  <c r="BB1013" i="1"/>
  <c r="BD1013" i="1"/>
  <c r="CE1013" i="1"/>
  <c r="A1014" i="1"/>
  <c r="C1014" i="1"/>
  <c r="S1014" i="1"/>
  <c r="T1014" i="1"/>
  <c r="U1014" i="1"/>
  <c r="BB1014" i="1"/>
  <c r="BD1014" i="1"/>
  <c r="CE1014" i="1"/>
  <c r="A1015" i="1"/>
  <c r="C1015" i="1"/>
  <c r="S1015" i="1"/>
  <c r="T1015" i="1"/>
  <c r="U1015" i="1"/>
  <c r="BB1015" i="1"/>
  <c r="BD1015" i="1"/>
  <c r="CE1015" i="1"/>
  <c r="A1016" i="1"/>
  <c r="C1016" i="1"/>
  <c r="S1016" i="1"/>
  <c r="T1016" i="1"/>
  <c r="U1016" i="1"/>
  <c r="BB1016" i="1"/>
  <c r="BD1016" i="1"/>
  <c r="CE1016" i="1"/>
  <c r="A1017" i="1"/>
  <c r="C1017" i="1"/>
  <c r="S1017" i="1"/>
  <c r="T1017" i="1"/>
  <c r="U1017" i="1"/>
  <c r="BB1017" i="1"/>
  <c r="BD1017" i="1"/>
  <c r="CE1017" i="1"/>
  <c r="A1018" i="1"/>
  <c r="C1018" i="1"/>
  <c r="S1018" i="1"/>
  <c r="T1018" i="1"/>
  <c r="U1018" i="1"/>
  <c r="BB1018" i="1"/>
  <c r="BD1018" i="1"/>
  <c r="CE1018" i="1"/>
  <c r="A1019" i="1"/>
  <c r="C1019" i="1"/>
  <c r="S1019" i="1"/>
  <c r="T1019" i="1"/>
  <c r="U1019" i="1"/>
  <c r="BB1019" i="1"/>
  <c r="BD1019" i="1"/>
  <c r="CE1019" i="1"/>
  <c r="A1020" i="1"/>
  <c r="C1020" i="1"/>
  <c r="S1020" i="1"/>
  <c r="T1020" i="1"/>
  <c r="U1020" i="1"/>
  <c r="BB1020" i="1"/>
  <c r="BD1020" i="1"/>
  <c r="CE1020" i="1"/>
  <c r="A1021" i="1"/>
  <c r="C1021" i="1"/>
  <c r="S1021" i="1"/>
  <c r="T1021" i="1"/>
  <c r="U1021" i="1"/>
  <c r="BB1021" i="1"/>
  <c r="BD1021" i="1"/>
  <c r="CE1021" i="1"/>
  <c r="A1022" i="1"/>
  <c r="C1022" i="1"/>
  <c r="S1022" i="1"/>
  <c r="T1022" i="1"/>
  <c r="U1022" i="1"/>
  <c r="BB1022" i="1"/>
  <c r="BD1022" i="1"/>
  <c r="CE1022" i="1"/>
  <c r="A1023" i="1"/>
  <c r="C1023" i="1"/>
  <c r="S1023" i="1"/>
  <c r="T1023" i="1"/>
  <c r="U1023" i="1"/>
  <c r="BB1023" i="1"/>
  <c r="BD1023" i="1"/>
  <c r="CE1023" i="1"/>
  <c r="A1024" i="1"/>
  <c r="C1024" i="1"/>
  <c r="S1024" i="1"/>
  <c r="T1024" i="1"/>
  <c r="U1024" i="1"/>
  <c r="BB1024" i="1"/>
  <c r="BD1024" i="1"/>
  <c r="CE1024" i="1"/>
  <c r="A1025" i="1"/>
  <c r="C1025" i="1"/>
  <c r="S1025" i="1"/>
  <c r="T1025" i="1"/>
  <c r="U1025" i="1"/>
  <c r="BB1025" i="1"/>
  <c r="BD1025" i="1"/>
  <c r="CE1025" i="1"/>
  <c r="A1026" i="1"/>
  <c r="C1026" i="1"/>
  <c r="S1026" i="1"/>
  <c r="T1026" i="1"/>
  <c r="U1026" i="1"/>
  <c r="BB1026" i="1"/>
  <c r="BD1026" i="1"/>
  <c r="CE1026" i="1"/>
  <c r="A1027" i="1"/>
  <c r="C1027" i="1"/>
  <c r="S1027" i="1"/>
  <c r="T1027" i="1"/>
  <c r="U1027" i="1"/>
  <c r="BB1027" i="1"/>
  <c r="BD1027" i="1"/>
  <c r="CE1027" i="1"/>
  <c r="A1028" i="1"/>
  <c r="C1028" i="1"/>
  <c r="S1028" i="1"/>
  <c r="T1028" i="1"/>
  <c r="U1028" i="1"/>
  <c r="BB1028" i="1"/>
  <c r="BD1028" i="1"/>
  <c r="CE1028" i="1"/>
  <c r="A1029" i="1"/>
  <c r="C1029" i="1"/>
  <c r="S1029" i="1"/>
  <c r="T1029" i="1"/>
  <c r="U1029" i="1"/>
  <c r="BB1029" i="1"/>
  <c r="BD1029" i="1"/>
  <c r="CE1029" i="1"/>
  <c r="A1030" i="1"/>
  <c r="C1030" i="1"/>
  <c r="S1030" i="1"/>
  <c r="T1030" i="1"/>
  <c r="U1030" i="1"/>
  <c r="BB1030" i="1"/>
  <c r="BD1030" i="1"/>
  <c r="CE1030" i="1"/>
  <c r="A1031" i="1"/>
  <c r="C1031" i="1"/>
  <c r="S1031" i="1"/>
  <c r="T1031" i="1"/>
  <c r="U1031" i="1"/>
  <c r="BB1031" i="1"/>
  <c r="BD1031" i="1"/>
  <c r="CE1031" i="1"/>
  <c r="A1032" i="1"/>
  <c r="C1032" i="1"/>
  <c r="S1032" i="1"/>
  <c r="T1032" i="1"/>
  <c r="U1032" i="1"/>
  <c r="BB1032" i="1"/>
  <c r="BD1032" i="1"/>
  <c r="CE1032" i="1"/>
  <c r="A1033" i="1"/>
  <c r="C1033" i="1"/>
  <c r="S1033" i="1"/>
  <c r="T1033" i="1"/>
  <c r="U1033" i="1"/>
  <c r="BB1033" i="1"/>
  <c r="BD1033" i="1"/>
  <c r="CE1033" i="1"/>
  <c r="A1034" i="1"/>
  <c r="C1034" i="1"/>
  <c r="S1034" i="1"/>
  <c r="T1034" i="1"/>
  <c r="U1034" i="1"/>
  <c r="BB1034" i="1"/>
  <c r="BD1034" i="1"/>
  <c r="CE1034" i="1"/>
  <c r="A1035" i="1"/>
  <c r="C1035" i="1"/>
  <c r="S1035" i="1"/>
  <c r="T1035" i="1"/>
  <c r="U1035" i="1"/>
  <c r="BB1035" i="1"/>
  <c r="BD1035" i="1"/>
  <c r="CE1035" i="1"/>
  <c r="A1036" i="1"/>
  <c r="C1036" i="1"/>
  <c r="S1036" i="1"/>
  <c r="T1036" i="1"/>
  <c r="U1036" i="1"/>
  <c r="BB1036" i="1"/>
  <c r="BD1036" i="1"/>
  <c r="CE1036" i="1"/>
  <c r="A1037" i="1"/>
  <c r="C1037" i="1"/>
  <c r="S1037" i="1"/>
  <c r="T1037" i="1"/>
  <c r="U1037" i="1"/>
  <c r="BB1037" i="1"/>
  <c r="BD1037" i="1"/>
  <c r="CE1037" i="1"/>
  <c r="A1038" i="1"/>
  <c r="C1038" i="1"/>
  <c r="S1038" i="1"/>
  <c r="T1038" i="1"/>
  <c r="U1038" i="1"/>
  <c r="BB1038" i="1"/>
  <c r="BD1038" i="1"/>
  <c r="CE1038" i="1"/>
  <c r="A1039" i="1"/>
  <c r="C1039" i="1"/>
  <c r="S1039" i="1"/>
  <c r="T1039" i="1"/>
  <c r="U1039" i="1"/>
  <c r="BB1039" i="1"/>
  <c r="BD1039" i="1"/>
  <c r="CE1039" i="1"/>
  <c r="A1040" i="1"/>
  <c r="C1040" i="1"/>
  <c r="S1040" i="1"/>
  <c r="T1040" i="1"/>
  <c r="U1040" i="1"/>
  <c r="BB1040" i="1"/>
  <c r="BD1040" i="1"/>
  <c r="CE1040" i="1"/>
  <c r="A1041" i="1"/>
  <c r="C1041" i="1"/>
  <c r="S1041" i="1"/>
  <c r="T1041" i="1"/>
  <c r="U1041" i="1"/>
  <c r="BB1041" i="1"/>
  <c r="BD1041" i="1"/>
  <c r="CE1041" i="1"/>
  <c r="A1042" i="1"/>
  <c r="C1042" i="1"/>
  <c r="S1042" i="1"/>
  <c r="T1042" i="1"/>
  <c r="U1042" i="1"/>
  <c r="BB1042" i="1"/>
  <c r="BD1042" i="1"/>
  <c r="CE1042" i="1"/>
  <c r="A1043" i="1"/>
  <c r="C1043" i="1"/>
  <c r="S1043" i="1"/>
  <c r="T1043" i="1"/>
  <c r="U1043" i="1"/>
  <c r="BB1043" i="1"/>
  <c r="BD1043" i="1"/>
  <c r="CE1043" i="1"/>
  <c r="A1044" i="1"/>
  <c r="C1044" i="1"/>
  <c r="S1044" i="1"/>
  <c r="T1044" i="1"/>
  <c r="U1044" i="1"/>
  <c r="BB1044" i="1"/>
  <c r="BD1044" i="1"/>
  <c r="CE1044" i="1"/>
  <c r="A1045" i="1"/>
  <c r="C1045" i="1"/>
  <c r="S1045" i="1"/>
  <c r="T1045" i="1"/>
  <c r="U1045" i="1"/>
  <c r="BB1045" i="1"/>
  <c r="BD1045" i="1"/>
  <c r="CE1045" i="1"/>
  <c r="A1046" i="1"/>
  <c r="C1046" i="1"/>
  <c r="S1046" i="1"/>
  <c r="T1046" i="1"/>
  <c r="U1046" i="1"/>
  <c r="BB1046" i="1"/>
  <c r="BD1046" i="1"/>
  <c r="CE1046" i="1"/>
  <c r="A1047" i="1"/>
  <c r="C1047" i="1"/>
  <c r="S1047" i="1"/>
  <c r="T1047" i="1"/>
  <c r="U1047" i="1"/>
  <c r="BB1047" i="1"/>
  <c r="BD1047" i="1"/>
  <c r="CE1047" i="1"/>
  <c r="A1048" i="1"/>
  <c r="C1048" i="1"/>
  <c r="S1048" i="1"/>
  <c r="U1048" i="1"/>
  <c r="BB1048" i="1"/>
  <c r="BD1048" i="1"/>
  <c r="CE1048" i="1"/>
  <c r="A1049" i="1"/>
  <c r="C1049" i="1"/>
  <c r="S1049" i="1"/>
  <c r="T1049" i="1"/>
  <c r="U1049" i="1"/>
  <c r="BB1049" i="1"/>
  <c r="BD1049" i="1"/>
  <c r="CE1049" i="1"/>
  <c r="A1050" i="1"/>
  <c r="C1050" i="1"/>
  <c r="S1050" i="1"/>
  <c r="T1050" i="1"/>
  <c r="U1050" i="1"/>
  <c r="BB1050" i="1"/>
  <c r="BD1050" i="1"/>
  <c r="CE1050" i="1"/>
  <c r="A1051" i="1"/>
  <c r="C1051" i="1"/>
  <c r="S1051" i="1"/>
  <c r="T1051" i="1"/>
  <c r="U1051" i="1"/>
  <c r="BB1051" i="1"/>
  <c r="BD1051" i="1"/>
  <c r="CE1051" i="1"/>
  <c r="A1052" i="1"/>
  <c r="C1052" i="1"/>
  <c r="S1052" i="1"/>
  <c r="T1052" i="1"/>
  <c r="U1052" i="1"/>
  <c r="BB1052" i="1"/>
  <c r="BD1052" i="1"/>
  <c r="CE1052" i="1"/>
  <c r="A1053" i="1"/>
  <c r="C1053" i="1"/>
  <c r="S1053" i="1"/>
  <c r="T1053" i="1"/>
  <c r="U1053" i="1"/>
  <c r="BB1053" i="1"/>
  <c r="BD1053" i="1"/>
  <c r="CE1053" i="1"/>
  <c r="A1054" i="1"/>
  <c r="C1054" i="1"/>
  <c r="S1054" i="1"/>
  <c r="T1054" i="1"/>
  <c r="U1054" i="1"/>
  <c r="BB1054" i="1"/>
  <c r="BD1054" i="1"/>
  <c r="CE1054" i="1"/>
  <c r="A1055" i="1"/>
  <c r="C1055" i="1"/>
  <c r="S1055" i="1"/>
  <c r="T1055" i="1"/>
  <c r="U1055" i="1"/>
  <c r="BB1055" i="1"/>
  <c r="BD1055" i="1"/>
  <c r="CE1055" i="1"/>
  <c r="A1056" i="1"/>
  <c r="C1056" i="1"/>
  <c r="S1056" i="1"/>
  <c r="T1056" i="1"/>
  <c r="U1056" i="1"/>
  <c r="BB1056" i="1"/>
  <c r="BD1056" i="1"/>
  <c r="CE1056" i="1"/>
  <c r="A1057" i="1"/>
  <c r="C1057" i="1"/>
  <c r="S1057" i="1"/>
  <c r="T1057" i="1"/>
  <c r="U1057" i="1"/>
  <c r="BB1057" i="1"/>
  <c r="BD1057" i="1"/>
  <c r="CE1057" i="1"/>
  <c r="A1058" i="1"/>
  <c r="C1058" i="1"/>
  <c r="S1058" i="1"/>
  <c r="T1058" i="1"/>
  <c r="U1058" i="1"/>
  <c r="BB1058" i="1"/>
  <c r="BD1058" i="1"/>
  <c r="CE1058" i="1"/>
  <c r="A1059" i="1"/>
  <c r="C1059" i="1"/>
  <c r="S1059" i="1"/>
  <c r="T1059" i="1"/>
  <c r="U1059" i="1"/>
  <c r="BB1059" i="1"/>
  <c r="BD1059" i="1"/>
  <c r="CE1059" i="1"/>
  <c r="A1060" i="1"/>
  <c r="C1060" i="1"/>
  <c r="S1060" i="1"/>
  <c r="T1060" i="1"/>
  <c r="U1060" i="1"/>
  <c r="BB1060" i="1"/>
  <c r="BD1060" i="1"/>
  <c r="CE1060" i="1"/>
  <c r="A1061" i="1"/>
  <c r="C1061" i="1"/>
  <c r="S1061" i="1"/>
  <c r="T1061" i="1"/>
  <c r="U1061" i="1"/>
  <c r="BB1061" i="1"/>
  <c r="BD1061" i="1"/>
  <c r="CE1061" i="1"/>
  <c r="A1062" i="1"/>
  <c r="C1062" i="1"/>
  <c r="S1062" i="1"/>
  <c r="T1062" i="1"/>
  <c r="U1062" i="1"/>
  <c r="BB1062" i="1"/>
  <c r="BD1062" i="1"/>
  <c r="CE1062" i="1"/>
  <c r="A1063" i="1"/>
  <c r="C1063" i="1"/>
  <c r="S1063" i="1"/>
  <c r="T1063" i="1"/>
  <c r="U1063" i="1"/>
  <c r="BB1063" i="1"/>
  <c r="BD1063" i="1"/>
  <c r="CE1063" i="1"/>
  <c r="A1064" i="1"/>
  <c r="C1064" i="1"/>
  <c r="S1064" i="1"/>
  <c r="T1064" i="1"/>
  <c r="U1064" i="1"/>
  <c r="BB1064" i="1"/>
  <c r="BD1064" i="1"/>
  <c r="CE1064" i="1"/>
  <c r="A1065" i="1"/>
  <c r="C1065" i="1"/>
  <c r="S1065" i="1"/>
  <c r="T1065" i="1"/>
  <c r="U1065" i="1"/>
  <c r="BB1065" i="1"/>
  <c r="BD1065" i="1"/>
  <c r="CE1065" i="1"/>
  <c r="A1066" i="1"/>
  <c r="C1066" i="1"/>
  <c r="S1066" i="1"/>
  <c r="T1066" i="1"/>
  <c r="U1066" i="1"/>
  <c r="BB1066" i="1"/>
  <c r="BD1066" i="1"/>
  <c r="CE1066" i="1"/>
  <c r="A1067" i="1"/>
  <c r="C1067" i="1"/>
  <c r="S1067" i="1"/>
  <c r="T1067" i="1"/>
  <c r="U1067" i="1"/>
  <c r="BB1067" i="1"/>
  <c r="BD1067" i="1"/>
  <c r="CE1067" i="1"/>
  <c r="A1068" i="1"/>
  <c r="C1068" i="1"/>
  <c r="S1068" i="1"/>
  <c r="T1068" i="1"/>
  <c r="U1068" i="1"/>
  <c r="BB1068" i="1"/>
  <c r="BD1068" i="1"/>
  <c r="CE1068" i="1"/>
  <c r="A1069" i="1"/>
  <c r="C1069" i="1"/>
  <c r="S1069" i="1"/>
  <c r="T1069" i="1"/>
  <c r="U1069" i="1"/>
  <c r="BB1069" i="1"/>
  <c r="BD1069" i="1"/>
  <c r="CE1069" i="1"/>
  <c r="A1070" i="1"/>
  <c r="C1070" i="1"/>
  <c r="S1070" i="1"/>
  <c r="T1070" i="1"/>
  <c r="U1070" i="1"/>
  <c r="BB1070" i="1"/>
  <c r="BD1070" i="1"/>
  <c r="CE1070" i="1"/>
  <c r="A1071" i="1"/>
  <c r="C1071" i="1"/>
  <c r="S1071" i="1"/>
  <c r="T1071" i="1"/>
  <c r="U1071" i="1"/>
  <c r="BB1071" i="1"/>
  <c r="BD1071" i="1"/>
  <c r="CE1071" i="1"/>
  <c r="A1072" i="1"/>
  <c r="C1072" i="1"/>
  <c r="S1072" i="1"/>
  <c r="U1072" i="1"/>
  <c r="BB1072" i="1"/>
  <c r="BD1072" i="1"/>
  <c r="CE1072" i="1"/>
  <c r="A1073" i="1"/>
  <c r="C1073" i="1"/>
  <c r="S1073" i="1"/>
  <c r="T1073" i="1"/>
  <c r="U1073" i="1"/>
  <c r="BB1073" i="1"/>
  <c r="BD1073" i="1"/>
  <c r="CE1073" i="1"/>
  <c r="A1074" i="1"/>
  <c r="C1074" i="1"/>
  <c r="S1074" i="1"/>
  <c r="T1074" i="1"/>
  <c r="U1074" i="1"/>
  <c r="BB1074" i="1"/>
  <c r="BD1074" i="1"/>
  <c r="CE1074" i="1"/>
  <c r="A1075" i="1"/>
  <c r="C1075" i="1"/>
  <c r="S1075" i="1"/>
  <c r="T1075" i="1"/>
  <c r="U1075" i="1"/>
  <c r="BB1075" i="1"/>
  <c r="BD1075" i="1"/>
  <c r="CE1075" i="1"/>
  <c r="A1076" i="1"/>
  <c r="C1076" i="1"/>
  <c r="S1076" i="1"/>
  <c r="T1076" i="1"/>
  <c r="U1076" i="1"/>
  <c r="BB1076" i="1"/>
  <c r="BD1076" i="1"/>
  <c r="CE1076" i="1"/>
  <c r="A1077" i="1"/>
  <c r="C1077" i="1"/>
  <c r="S1077" i="1"/>
  <c r="T1077" i="1"/>
  <c r="U1077" i="1"/>
  <c r="BB1077" i="1"/>
  <c r="BD1077" i="1"/>
  <c r="CE1077" i="1"/>
  <c r="A1078" i="1"/>
  <c r="C1078" i="1"/>
  <c r="S1078" i="1"/>
  <c r="T1078" i="1"/>
  <c r="U1078" i="1"/>
  <c r="BB1078" i="1"/>
  <c r="BD1078" i="1"/>
  <c r="CE1078" i="1"/>
  <c r="A1079" i="1"/>
  <c r="C1079" i="1"/>
  <c r="S1079" i="1"/>
  <c r="T1079" i="1"/>
  <c r="U1079" i="1"/>
  <c r="BB1079" i="1"/>
  <c r="BD1079" i="1"/>
  <c r="CE1079" i="1"/>
  <c r="A1080" i="1"/>
  <c r="C1080" i="1"/>
  <c r="S1080" i="1"/>
  <c r="T1080" i="1"/>
  <c r="U1080" i="1"/>
  <c r="BB1080" i="1"/>
  <c r="BD1080" i="1"/>
  <c r="CE1080" i="1"/>
  <c r="A1081" i="1"/>
  <c r="C1081" i="1"/>
  <c r="S1081" i="1"/>
  <c r="T1081" i="1"/>
  <c r="U1081" i="1"/>
  <c r="BB1081" i="1"/>
  <c r="BD1081" i="1"/>
  <c r="CE1081" i="1"/>
  <c r="A1082" i="1"/>
  <c r="C1082" i="1"/>
  <c r="S1082" i="1"/>
  <c r="T1082" i="1"/>
  <c r="U1082" i="1"/>
  <c r="BB1082" i="1"/>
  <c r="BD1082" i="1"/>
  <c r="CE1082" i="1"/>
  <c r="A1083" i="1"/>
  <c r="C1083" i="1"/>
  <c r="S1083" i="1"/>
  <c r="T1083" i="1"/>
  <c r="U1083" i="1"/>
  <c r="BB1083" i="1"/>
  <c r="BD1083" i="1"/>
  <c r="CE1083" i="1"/>
  <c r="A1084" i="1"/>
  <c r="C1084" i="1"/>
  <c r="S1084" i="1"/>
  <c r="T1084" i="1"/>
  <c r="U1084" i="1"/>
  <c r="BB1084" i="1"/>
  <c r="BD1084" i="1"/>
  <c r="CE1084" i="1"/>
  <c r="A1085" i="1"/>
  <c r="C1085" i="1"/>
  <c r="S1085" i="1"/>
  <c r="T1085" i="1"/>
  <c r="U1085" i="1"/>
  <c r="BB1085" i="1"/>
  <c r="BD1085" i="1"/>
  <c r="CE1085" i="1"/>
  <c r="A1086" i="1"/>
  <c r="C1086" i="1"/>
  <c r="S1086" i="1"/>
  <c r="T1086" i="1"/>
  <c r="U1086" i="1"/>
  <c r="BB1086" i="1"/>
  <c r="BD1086" i="1"/>
  <c r="CE1086" i="1"/>
  <c r="A1087" i="1"/>
  <c r="C1087" i="1"/>
  <c r="S1087" i="1"/>
  <c r="T1087" i="1"/>
  <c r="U1087" i="1"/>
  <c r="BB1087" i="1"/>
  <c r="BD1087" i="1"/>
  <c r="CE1087" i="1"/>
  <c r="A1088" i="1"/>
  <c r="C1088" i="1"/>
  <c r="S1088" i="1"/>
  <c r="U1088" i="1"/>
  <c r="BB1088" i="1"/>
  <c r="BD1088" i="1"/>
  <c r="CE1088" i="1"/>
  <c r="A1089" i="1"/>
  <c r="C1089" i="1"/>
  <c r="S1089" i="1"/>
  <c r="U1089" i="1"/>
  <c r="BB1089" i="1"/>
  <c r="BD1089" i="1"/>
  <c r="CE1089" i="1"/>
  <c r="A1090" i="1"/>
  <c r="C1090" i="1"/>
  <c r="S1090" i="1"/>
  <c r="U1090" i="1"/>
  <c r="BB1090" i="1"/>
  <c r="BD1090" i="1"/>
  <c r="CE1090" i="1"/>
  <c r="A1091" i="1"/>
  <c r="C1091" i="1"/>
  <c r="S1091" i="1"/>
  <c r="T1091" i="1"/>
  <c r="U1091" i="1"/>
  <c r="BB1091" i="1"/>
  <c r="BD1091" i="1"/>
  <c r="CE1091" i="1"/>
  <c r="A1092" i="1"/>
  <c r="C1092" i="1"/>
  <c r="S1092" i="1"/>
  <c r="T1092" i="1"/>
  <c r="U1092" i="1"/>
  <c r="BB1092" i="1"/>
  <c r="BD1092" i="1"/>
  <c r="CE1092" i="1"/>
  <c r="A1093" i="1"/>
  <c r="C1093" i="1"/>
  <c r="S1093" i="1"/>
  <c r="T1093" i="1"/>
  <c r="U1093" i="1"/>
  <c r="BB1093" i="1"/>
  <c r="BD1093" i="1"/>
  <c r="CE1093" i="1"/>
  <c r="A1094" i="1"/>
  <c r="C1094" i="1"/>
  <c r="S1094" i="1"/>
  <c r="T1094" i="1"/>
  <c r="U1094" i="1"/>
  <c r="BB1094" i="1"/>
  <c r="BD1094" i="1"/>
  <c r="CE1094" i="1"/>
  <c r="A1095" i="1"/>
  <c r="C1095" i="1"/>
  <c r="S1095" i="1"/>
  <c r="T1095" i="1"/>
  <c r="U1095" i="1"/>
  <c r="BB1095" i="1"/>
  <c r="BD1095" i="1"/>
  <c r="CE1095" i="1"/>
  <c r="A1096" i="1"/>
  <c r="C1096" i="1"/>
  <c r="S1096" i="1"/>
  <c r="T1096" i="1"/>
  <c r="U1096" i="1"/>
  <c r="BB1096" i="1"/>
  <c r="BD1096" i="1"/>
  <c r="CE1096" i="1"/>
  <c r="A1097" i="1"/>
  <c r="C1097" i="1"/>
  <c r="S1097" i="1"/>
  <c r="T1097" i="1"/>
  <c r="U1097" i="1"/>
  <c r="BB1097" i="1"/>
  <c r="BD1097" i="1"/>
  <c r="CE1097" i="1"/>
  <c r="A1098" i="1"/>
  <c r="C1098" i="1"/>
  <c r="S1098" i="1"/>
  <c r="T1098" i="1"/>
  <c r="U1098" i="1"/>
  <c r="BB1098" i="1"/>
  <c r="BD1098" i="1"/>
  <c r="CE1098" i="1"/>
  <c r="A1099" i="1"/>
  <c r="C1099" i="1"/>
  <c r="S1099" i="1"/>
  <c r="T1099" i="1"/>
  <c r="U1099" i="1"/>
  <c r="BB1099" i="1"/>
  <c r="BD1099" i="1"/>
  <c r="CE1099" i="1"/>
  <c r="A1100" i="1"/>
  <c r="C1100" i="1"/>
  <c r="S1100" i="1"/>
  <c r="T1100" i="1"/>
  <c r="U1100" i="1"/>
  <c r="BB1100" i="1"/>
  <c r="BD1100" i="1"/>
  <c r="CE1100" i="1"/>
  <c r="A1101" i="1"/>
  <c r="C1101" i="1"/>
  <c r="S1101" i="1"/>
  <c r="T1101" i="1"/>
  <c r="U1101" i="1"/>
  <c r="BB1101" i="1"/>
  <c r="BD1101" i="1"/>
  <c r="CE1101" i="1"/>
  <c r="A1102" i="1"/>
  <c r="C1102" i="1"/>
  <c r="S1102" i="1"/>
  <c r="T1102" i="1"/>
  <c r="U1102" i="1"/>
  <c r="BB1102" i="1"/>
  <c r="BD1102" i="1"/>
  <c r="CE1102" i="1"/>
  <c r="A1103" i="1"/>
  <c r="C1103" i="1"/>
  <c r="S1103" i="1"/>
  <c r="U1103" i="1"/>
  <c r="BB1103" i="1"/>
  <c r="BD1103" i="1"/>
  <c r="CE1103" i="1"/>
  <c r="A1104" i="1"/>
  <c r="C1104" i="1"/>
  <c r="S1104" i="1"/>
  <c r="T1104" i="1"/>
  <c r="U1104" i="1"/>
  <c r="BB1104" i="1"/>
  <c r="BD1104" i="1"/>
  <c r="CE1104" i="1"/>
  <c r="A1105" i="1"/>
  <c r="C1105" i="1"/>
  <c r="S1105" i="1"/>
  <c r="T1105" i="1"/>
  <c r="U1105" i="1"/>
  <c r="BB1105" i="1"/>
  <c r="BD1105" i="1"/>
  <c r="CE1105" i="1"/>
  <c r="A1106" i="1"/>
  <c r="C1106" i="1"/>
  <c r="S1106" i="1"/>
  <c r="T1106" i="1"/>
  <c r="U1106" i="1"/>
  <c r="BB1106" i="1"/>
  <c r="BD1106" i="1"/>
  <c r="CE1106" i="1"/>
  <c r="A1107" i="1"/>
  <c r="C1107" i="1"/>
  <c r="S1107" i="1"/>
  <c r="U1107" i="1"/>
  <c r="BB1107" i="1"/>
  <c r="BD1107" i="1"/>
  <c r="CE1107" i="1"/>
  <c r="A1108" i="1"/>
  <c r="C1108" i="1"/>
  <c r="S1108" i="1"/>
  <c r="U1108" i="1"/>
  <c r="BB1108" i="1"/>
  <c r="BD1108" i="1"/>
  <c r="CE1108" i="1"/>
  <c r="A1109" i="1"/>
  <c r="C1109" i="1"/>
  <c r="S1109" i="1"/>
  <c r="U1109" i="1"/>
  <c r="BB1109" i="1"/>
  <c r="BD1109" i="1"/>
  <c r="CE1109" i="1"/>
  <c r="A1110" i="1"/>
  <c r="C1110" i="1"/>
  <c r="S1110" i="1"/>
  <c r="T1110" i="1"/>
  <c r="U1110" i="1"/>
  <c r="BB1110" i="1"/>
  <c r="BD1110" i="1"/>
  <c r="CE1110" i="1"/>
  <c r="A1111" i="1"/>
  <c r="C1111" i="1"/>
  <c r="S1111" i="1"/>
  <c r="T1111" i="1"/>
  <c r="U1111" i="1"/>
  <c r="BB1111" i="1"/>
  <c r="BD1111" i="1"/>
  <c r="CE1111" i="1"/>
  <c r="A1112" i="1"/>
  <c r="C1112" i="1"/>
  <c r="S1112" i="1"/>
  <c r="T1112" i="1"/>
  <c r="U1112" i="1"/>
  <c r="BB1112" i="1"/>
  <c r="BD1112" i="1"/>
  <c r="CE1112" i="1"/>
  <c r="A1113" i="1"/>
  <c r="C1113" i="1"/>
  <c r="S1113" i="1"/>
  <c r="T1113" i="1"/>
  <c r="U1113" i="1"/>
  <c r="BB1113" i="1"/>
  <c r="BD1113" i="1"/>
  <c r="CE1113" i="1"/>
  <c r="A1114" i="1"/>
  <c r="C1114" i="1"/>
  <c r="S1114" i="1"/>
  <c r="T1114" i="1"/>
  <c r="U1114" i="1"/>
  <c r="BB1114" i="1"/>
  <c r="BD1114" i="1"/>
  <c r="CE1114" i="1"/>
  <c r="A1115" i="1"/>
  <c r="C1115" i="1"/>
  <c r="S1115" i="1"/>
  <c r="T1115" i="1"/>
  <c r="U1115" i="1"/>
  <c r="BB1115" i="1"/>
  <c r="BD1115" i="1"/>
  <c r="CE1115" i="1"/>
  <c r="A1116" i="1"/>
  <c r="C1116" i="1"/>
  <c r="S1116" i="1"/>
  <c r="T1116" i="1"/>
  <c r="U1116" i="1"/>
  <c r="BB1116" i="1"/>
  <c r="BD1116" i="1"/>
  <c r="CE1116" i="1"/>
  <c r="A1117" i="1"/>
  <c r="C1117" i="1"/>
  <c r="S1117" i="1"/>
  <c r="T1117" i="1"/>
  <c r="U1117" i="1"/>
  <c r="BB1117" i="1"/>
  <c r="BD1117" i="1"/>
  <c r="CE1117" i="1"/>
  <c r="A1118" i="1"/>
  <c r="C1118" i="1"/>
  <c r="S1118" i="1"/>
  <c r="T1118" i="1"/>
  <c r="U1118" i="1"/>
  <c r="BB1118" i="1"/>
  <c r="BD1118" i="1"/>
  <c r="CE1118" i="1"/>
  <c r="A1119" i="1"/>
  <c r="C1119" i="1"/>
  <c r="S1119" i="1"/>
  <c r="T1119" i="1"/>
  <c r="U1119" i="1"/>
  <c r="BB1119" i="1"/>
  <c r="BD1119" i="1"/>
  <c r="CE1119" i="1"/>
  <c r="A1120" i="1"/>
  <c r="C1120" i="1"/>
  <c r="S1120" i="1"/>
  <c r="T1120" i="1"/>
  <c r="U1120" i="1"/>
  <c r="BB1120" i="1"/>
  <c r="BD1120" i="1"/>
  <c r="CE1120" i="1"/>
  <c r="A1121" i="1"/>
  <c r="C1121" i="1"/>
  <c r="S1121" i="1"/>
  <c r="T1121" i="1"/>
  <c r="U1121" i="1"/>
  <c r="BB1121" i="1"/>
  <c r="BD1121" i="1"/>
  <c r="CE1121" i="1"/>
  <c r="A1122" i="1"/>
  <c r="C1122" i="1"/>
  <c r="S1122" i="1"/>
  <c r="T1122" i="1"/>
  <c r="U1122" i="1"/>
  <c r="BB1122" i="1"/>
  <c r="BD1122" i="1"/>
  <c r="CE1122" i="1"/>
  <c r="A1123" i="1"/>
  <c r="C1123" i="1"/>
  <c r="S1123" i="1"/>
  <c r="T1123" i="1"/>
  <c r="U1123" i="1"/>
  <c r="BB1123" i="1"/>
  <c r="BD1123" i="1"/>
  <c r="CE1123" i="1"/>
  <c r="A1124" i="1"/>
  <c r="C1124" i="1"/>
  <c r="S1124" i="1"/>
  <c r="T1124" i="1"/>
  <c r="U1124" i="1"/>
  <c r="BB1124" i="1"/>
  <c r="BD1124" i="1"/>
  <c r="CE1124" i="1"/>
  <c r="A1125" i="1"/>
  <c r="C1125" i="1"/>
  <c r="S1125" i="1"/>
  <c r="T1125" i="1"/>
  <c r="U1125" i="1"/>
  <c r="BB1125" i="1"/>
  <c r="BD1125" i="1"/>
  <c r="CE1125" i="1"/>
  <c r="A1126" i="1"/>
  <c r="C1126" i="1"/>
  <c r="S1126" i="1"/>
  <c r="T1126" i="1"/>
  <c r="U1126" i="1"/>
  <c r="BB1126" i="1"/>
  <c r="BD1126" i="1"/>
  <c r="CE1126" i="1"/>
  <c r="A1127" i="1"/>
  <c r="C1127" i="1"/>
  <c r="S1127" i="1"/>
  <c r="T1127" i="1"/>
  <c r="U1127" i="1"/>
  <c r="BB1127" i="1"/>
  <c r="BD1127" i="1"/>
  <c r="CE1127" i="1"/>
  <c r="A1128" i="1"/>
  <c r="C1128" i="1"/>
  <c r="S1128" i="1"/>
  <c r="T1128" i="1"/>
  <c r="U1128" i="1"/>
  <c r="BB1128" i="1"/>
  <c r="BD1128" i="1"/>
  <c r="CE1128" i="1"/>
  <c r="A1129" i="1"/>
  <c r="C1129" i="1"/>
  <c r="S1129" i="1"/>
  <c r="T1129" i="1"/>
  <c r="U1129" i="1"/>
  <c r="BB1129" i="1"/>
  <c r="BD1129" i="1"/>
  <c r="CE1129" i="1"/>
  <c r="A1130" i="1"/>
  <c r="C1130" i="1"/>
  <c r="S1130" i="1"/>
  <c r="T1130" i="1"/>
  <c r="U1130" i="1"/>
  <c r="BB1130" i="1"/>
  <c r="BD1130" i="1"/>
  <c r="CE1130" i="1"/>
  <c r="A1131" i="1"/>
  <c r="C1131" i="1"/>
  <c r="S1131" i="1"/>
  <c r="T1131" i="1"/>
  <c r="U1131" i="1"/>
  <c r="BB1131" i="1"/>
  <c r="BD1131" i="1"/>
  <c r="CE1131" i="1"/>
  <c r="A1132" i="1"/>
  <c r="C1132" i="1"/>
  <c r="S1132" i="1"/>
  <c r="T1132" i="1"/>
  <c r="U1132" i="1"/>
  <c r="BB1132" i="1"/>
  <c r="BD1132" i="1"/>
  <c r="CE1132" i="1"/>
  <c r="A1133" i="1"/>
  <c r="C1133" i="1"/>
  <c r="S1133" i="1"/>
  <c r="T1133" i="1"/>
  <c r="U1133" i="1"/>
  <c r="BB1133" i="1"/>
  <c r="BD1133" i="1"/>
  <c r="CE1133" i="1"/>
  <c r="A1134" i="1"/>
  <c r="C1134" i="1"/>
  <c r="S1134" i="1"/>
  <c r="T1134" i="1"/>
  <c r="U1134" i="1"/>
  <c r="BB1134" i="1"/>
  <c r="BD1134" i="1"/>
  <c r="CE1134" i="1"/>
  <c r="A1135" i="1"/>
  <c r="C1135" i="1"/>
  <c r="S1135" i="1"/>
  <c r="T1135" i="1"/>
  <c r="U1135" i="1"/>
  <c r="BB1135" i="1"/>
  <c r="BD1135" i="1"/>
  <c r="CE1135" i="1"/>
  <c r="A1136" i="1"/>
  <c r="C1136" i="1"/>
  <c r="S1136" i="1"/>
  <c r="T1136" i="1"/>
  <c r="U1136" i="1"/>
  <c r="BB1136" i="1"/>
  <c r="BD1136" i="1"/>
  <c r="CE1136" i="1"/>
  <c r="A1137" i="1"/>
  <c r="C1137" i="1"/>
  <c r="S1137" i="1"/>
  <c r="T1137" i="1"/>
  <c r="U1137" i="1"/>
  <c r="BB1137" i="1"/>
  <c r="BD1137" i="1"/>
  <c r="CE1137" i="1"/>
  <c r="A1138" i="1"/>
  <c r="C1138" i="1"/>
  <c r="S1138" i="1"/>
  <c r="T1138" i="1"/>
  <c r="U1138" i="1"/>
  <c r="BB1138" i="1"/>
  <c r="BD1138" i="1"/>
  <c r="CE1138" i="1"/>
  <c r="A1139" i="1"/>
  <c r="C1139" i="1"/>
  <c r="S1139" i="1"/>
  <c r="T1139" i="1"/>
  <c r="U1139" i="1"/>
  <c r="BB1139" i="1"/>
  <c r="BD1139" i="1"/>
  <c r="CE1139" i="1"/>
  <c r="A1140" i="1"/>
  <c r="C1140" i="1"/>
  <c r="S1140" i="1"/>
  <c r="T1140" i="1"/>
  <c r="U1140" i="1"/>
  <c r="BB1140" i="1"/>
  <c r="BD1140" i="1"/>
  <c r="CE1140" i="1"/>
  <c r="A1141" i="1"/>
  <c r="C1141" i="1"/>
  <c r="S1141" i="1"/>
  <c r="T1141" i="1"/>
  <c r="U1141" i="1"/>
  <c r="BB1141" i="1"/>
  <c r="BD1141" i="1"/>
  <c r="CE1141" i="1"/>
  <c r="A1142" i="1"/>
  <c r="C1142" i="1"/>
  <c r="S1142" i="1"/>
  <c r="T1142" i="1"/>
  <c r="U1142" i="1"/>
  <c r="BB1142" i="1"/>
  <c r="BD1142" i="1"/>
  <c r="CE1142" i="1"/>
  <c r="A1143" i="1"/>
  <c r="C1143" i="1"/>
  <c r="S1143" i="1"/>
  <c r="T1143" i="1"/>
  <c r="U1143" i="1"/>
  <c r="BB1143" i="1"/>
  <c r="BD1143" i="1"/>
  <c r="CE1143" i="1"/>
  <c r="A1144" i="1"/>
  <c r="C1144" i="1"/>
  <c r="S1144" i="1"/>
  <c r="T1144" i="1"/>
  <c r="U1144" i="1"/>
  <c r="BB1144" i="1"/>
  <c r="BD1144" i="1"/>
  <c r="CE1144" i="1"/>
  <c r="A1145" i="1"/>
  <c r="C1145" i="1"/>
  <c r="S1145" i="1"/>
  <c r="T1145" i="1"/>
  <c r="U1145" i="1"/>
  <c r="BB1145" i="1"/>
  <c r="BD1145" i="1"/>
  <c r="CE1145" i="1"/>
  <c r="A1146" i="1"/>
  <c r="C1146" i="1"/>
  <c r="S1146" i="1"/>
  <c r="T1146" i="1"/>
  <c r="U1146" i="1"/>
  <c r="BB1146" i="1"/>
  <c r="BD1146" i="1"/>
  <c r="CE1146" i="1"/>
  <c r="A1147" i="1"/>
  <c r="C1147" i="1"/>
  <c r="S1147" i="1"/>
  <c r="T1147" i="1"/>
  <c r="U1147" i="1"/>
  <c r="BB1147" i="1"/>
  <c r="BD1147" i="1"/>
  <c r="CE1147" i="1"/>
  <c r="A1148" i="1"/>
  <c r="C1148" i="1"/>
  <c r="S1148" i="1"/>
  <c r="T1148" i="1"/>
  <c r="U1148" i="1"/>
  <c r="BB1148" i="1"/>
  <c r="BD1148" i="1"/>
  <c r="CE1148" i="1"/>
  <c r="A1149" i="1"/>
  <c r="C1149" i="1"/>
  <c r="S1149" i="1"/>
  <c r="T1149" i="1"/>
  <c r="U1149" i="1"/>
  <c r="BB1149" i="1"/>
  <c r="BD1149" i="1"/>
  <c r="CE1149" i="1"/>
  <c r="A1150" i="1"/>
  <c r="C1150" i="1"/>
  <c r="S1150" i="1"/>
  <c r="T1150" i="1"/>
  <c r="U1150" i="1"/>
  <c r="BB1150" i="1"/>
  <c r="BD1150" i="1"/>
  <c r="CE1150" i="1"/>
  <c r="A1151" i="1"/>
  <c r="C1151" i="1"/>
  <c r="S1151" i="1"/>
  <c r="T1151" i="1"/>
  <c r="U1151" i="1"/>
  <c r="BB1151" i="1"/>
  <c r="BD1151" i="1"/>
  <c r="CE1151" i="1"/>
  <c r="A1152" i="1"/>
  <c r="C1152" i="1"/>
  <c r="S1152" i="1"/>
  <c r="T1152" i="1"/>
  <c r="U1152" i="1"/>
  <c r="BB1152" i="1"/>
  <c r="BD1152" i="1"/>
  <c r="CE1152" i="1"/>
  <c r="A1153" i="1"/>
  <c r="C1153" i="1"/>
  <c r="S1153" i="1"/>
  <c r="T1153" i="1"/>
  <c r="U1153" i="1"/>
  <c r="BB1153" i="1"/>
  <c r="BD1153" i="1"/>
  <c r="CE1153" i="1"/>
  <c r="A1154" i="1"/>
  <c r="C1154" i="1"/>
  <c r="S1154" i="1"/>
  <c r="T1154" i="1"/>
  <c r="U1154" i="1"/>
  <c r="BB1154" i="1"/>
  <c r="BD1154" i="1"/>
  <c r="CE1154" i="1"/>
  <c r="A1155" i="1"/>
  <c r="C1155" i="1"/>
  <c r="S1155" i="1"/>
  <c r="T1155" i="1"/>
  <c r="U1155" i="1"/>
  <c r="BB1155" i="1"/>
  <c r="BD1155" i="1"/>
  <c r="CE1155" i="1"/>
  <c r="A1156" i="1"/>
  <c r="C1156" i="1"/>
  <c r="S1156" i="1"/>
  <c r="T1156" i="1"/>
  <c r="U1156" i="1"/>
  <c r="BB1156" i="1"/>
  <c r="BD1156" i="1"/>
  <c r="CE1156" i="1"/>
  <c r="A1157" i="1"/>
  <c r="C1157" i="1"/>
  <c r="S1157" i="1"/>
  <c r="T1157" i="1"/>
  <c r="U1157" i="1"/>
  <c r="BB1157" i="1"/>
  <c r="BD1157" i="1"/>
  <c r="CE1157" i="1"/>
  <c r="A1158" i="1"/>
  <c r="C1158" i="1"/>
  <c r="S1158" i="1"/>
  <c r="T1158" i="1"/>
  <c r="U1158" i="1"/>
  <c r="BB1158" i="1"/>
  <c r="BD1158" i="1"/>
  <c r="CE1158" i="1"/>
  <c r="A1159" i="1"/>
  <c r="C1159" i="1"/>
  <c r="S1159" i="1"/>
  <c r="T1159" i="1"/>
  <c r="U1159" i="1"/>
  <c r="BB1159" i="1"/>
  <c r="BD1159" i="1"/>
  <c r="CE1159" i="1"/>
  <c r="A1160" i="1"/>
  <c r="C1160" i="1"/>
  <c r="S1160" i="1"/>
  <c r="T1160" i="1"/>
  <c r="U1160" i="1"/>
  <c r="BB1160" i="1"/>
  <c r="BD1160" i="1"/>
  <c r="CE1160" i="1"/>
  <c r="A1161" i="1"/>
  <c r="C1161" i="1"/>
  <c r="S1161" i="1"/>
  <c r="T1161" i="1"/>
  <c r="U1161" i="1"/>
  <c r="BB1161" i="1"/>
  <c r="BD1161" i="1"/>
  <c r="CE1161" i="1"/>
  <c r="A1162" i="1"/>
  <c r="C1162" i="1"/>
  <c r="S1162" i="1"/>
  <c r="T1162" i="1"/>
  <c r="U1162" i="1"/>
  <c r="BB1162" i="1"/>
  <c r="BD1162" i="1"/>
  <c r="CE1162" i="1"/>
  <c r="A1163" i="1"/>
  <c r="C1163" i="1"/>
  <c r="S1163" i="1"/>
  <c r="T1163" i="1"/>
  <c r="U1163" i="1"/>
  <c r="BB1163" i="1"/>
  <c r="BD1163" i="1"/>
  <c r="CE1163" i="1"/>
  <c r="A1164" i="1"/>
  <c r="C1164" i="1"/>
  <c r="S1164" i="1"/>
  <c r="T1164" i="1"/>
  <c r="U1164" i="1"/>
  <c r="BB1164" i="1"/>
  <c r="BD1164" i="1"/>
  <c r="CE1164" i="1"/>
  <c r="A1165" i="1"/>
  <c r="C1165" i="1"/>
  <c r="S1165" i="1"/>
  <c r="T1165" i="1"/>
  <c r="U1165" i="1"/>
  <c r="BB1165" i="1"/>
  <c r="BD1165" i="1"/>
  <c r="CE1165" i="1"/>
  <c r="A1166" i="1"/>
  <c r="C1166" i="1"/>
  <c r="S1166" i="1"/>
  <c r="T1166" i="1"/>
  <c r="U1166" i="1"/>
  <c r="BB1166" i="1"/>
  <c r="BD1166" i="1"/>
  <c r="CE1166" i="1"/>
  <c r="A1167" i="1"/>
  <c r="C1167" i="1"/>
  <c r="S1167" i="1"/>
  <c r="T1167" i="1"/>
  <c r="U1167" i="1"/>
  <c r="BB1167" i="1"/>
  <c r="BD1167" i="1"/>
  <c r="CE1167" i="1"/>
  <c r="A1168" i="1"/>
  <c r="C1168" i="1"/>
  <c r="S1168" i="1"/>
  <c r="T1168" i="1"/>
  <c r="U1168" i="1"/>
  <c r="BB1168" i="1"/>
  <c r="BD1168" i="1"/>
  <c r="CE1168" i="1"/>
  <c r="A1169" i="1"/>
  <c r="C1169" i="1"/>
  <c r="S1169" i="1"/>
  <c r="T1169" i="1"/>
  <c r="U1169" i="1"/>
  <c r="BB1169" i="1"/>
  <c r="BD1169" i="1"/>
  <c r="CE1169" i="1"/>
  <c r="A1170" i="1"/>
  <c r="C1170" i="1"/>
  <c r="S1170" i="1"/>
  <c r="T1170" i="1"/>
  <c r="U1170" i="1"/>
  <c r="BB1170" i="1"/>
  <c r="BD1170" i="1"/>
  <c r="CE1170" i="1"/>
  <c r="A1171" i="1"/>
  <c r="C1171" i="1"/>
  <c r="S1171" i="1"/>
  <c r="T1171" i="1"/>
  <c r="U1171" i="1"/>
  <c r="BB1171" i="1"/>
  <c r="BD1171" i="1"/>
  <c r="CE1171" i="1"/>
  <c r="A1172" i="1"/>
  <c r="C1172" i="1"/>
  <c r="S1172" i="1"/>
  <c r="T1172" i="1"/>
  <c r="U1172" i="1"/>
  <c r="BB1172" i="1"/>
  <c r="BD1172" i="1"/>
  <c r="CE1172" i="1"/>
  <c r="A1173" i="1"/>
  <c r="C1173" i="1"/>
  <c r="S1173" i="1"/>
  <c r="T1173" i="1"/>
  <c r="U1173" i="1"/>
  <c r="BB1173" i="1"/>
  <c r="BD1173" i="1"/>
  <c r="CE1173" i="1"/>
  <c r="A1174" i="1"/>
  <c r="C1174" i="1"/>
  <c r="S1174" i="1"/>
  <c r="T1174" i="1"/>
  <c r="U1174" i="1"/>
  <c r="BB1174" i="1"/>
  <c r="BD1174" i="1"/>
  <c r="CE1174" i="1"/>
  <c r="A1175" i="1"/>
  <c r="C1175" i="1"/>
  <c r="S1175" i="1"/>
  <c r="T1175" i="1"/>
  <c r="U1175" i="1"/>
  <c r="BB1175" i="1"/>
  <c r="BD1175" i="1"/>
  <c r="CE1175" i="1"/>
  <c r="A1176" i="1"/>
  <c r="C1176" i="1"/>
  <c r="S1176" i="1"/>
  <c r="T1176" i="1"/>
  <c r="U1176" i="1"/>
  <c r="BB1176" i="1"/>
  <c r="BD1176" i="1"/>
  <c r="CE1176" i="1"/>
  <c r="A1177" i="1"/>
  <c r="C1177" i="1"/>
  <c r="S1177" i="1"/>
  <c r="T1177" i="1"/>
  <c r="U1177" i="1"/>
  <c r="BB1177" i="1"/>
  <c r="BD1177" i="1"/>
  <c r="CE1177" i="1"/>
  <c r="A1178" i="1"/>
  <c r="C1178" i="1"/>
  <c r="S1178" i="1"/>
  <c r="T1178" i="1"/>
  <c r="U1178" i="1"/>
  <c r="BB1178" i="1"/>
  <c r="BD1178" i="1"/>
  <c r="CE1178" i="1"/>
  <c r="A1179" i="1"/>
  <c r="C1179" i="1"/>
  <c r="S1179" i="1"/>
  <c r="T1179" i="1"/>
  <c r="U1179" i="1"/>
  <c r="BB1179" i="1"/>
  <c r="BD1179" i="1"/>
  <c r="CE1179" i="1"/>
  <c r="A1180" i="1"/>
  <c r="C1180" i="1"/>
  <c r="S1180" i="1"/>
  <c r="T1180" i="1"/>
  <c r="U1180" i="1"/>
  <c r="BB1180" i="1"/>
  <c r="BD1180" i="1"/>
  <c r="CE1180" i="1"/>
  <c r="A1181" i="1"/>
  <c r="C1181" i="1"/>
  <c r="S1181" i="1"/>
  <c r="T1181" i="1"/>
  <c r="U1181" i="1"/>
  <c r="BB1181" i="1"/>
  <c r="BD1181" i="1"/>
  <c r="CE1181" i="1"/>
  <c r="A1182" i="1"/>
  <c r="C1182" i="1"/>
  <c r="S1182" i="1"/>
  <c r="T1182" i="1"/>
  <c r="U1182" i="1"/>
  <c r="BB1182" i="1"/>
  <c r="BD1182" i="1"/>
  <c r="CE1182" i="1"/>
  <c r="A1183" i="1"/>
  <c r="C1183" i="1"/>
  <c r="S1183" i="1"/>
  <c r="T1183" i="1"/>
  <c r="U1183" i="1"/>
  <c r="BB1183" i="1"/>
  <c r="BD1183" i="1"/>
  <c r="CE1183" i="1"/>
  <c r="A1184" i="1"/>
  <c r="C1184" i="1"/>
  <c r="S1184" i="1"/>
  <c r="T1184" i="1"/>
  <c r="U1184" i="1"/>
  <c r="BB1184" i="1"/>
  <c r="BD1184" i="1"/>
  <c r="CE1184" i="1"/>
  <c r="A1185" i="1"/>
  <c r="C1185" i="1"/>
  <c r="S1185" i="1"/>
  <c r="T1185" i="1"/>
  <c r="U1185" i="1"/>
  <c r="BB1185" i="1"/>
  <c r="BD1185" i="1"/>
  <c r="CE1185" i="1"/>
  <c r="A1186" i="1"/>
  <c r="C1186" i="1"/>
  <c r="S1186" i="1"/>
  <c r="T1186" i="1"/>
  <c r="U1186" i="1"/>
  <c r="BB1186" i="1"/>
  <c r="BD1186" i="1"/>
  <c r="CE1186" i="1"/>
  <c r="A1187" i="1"/>
  <c r="C1187" i="1"/>
  <c r="S1187" i="1"/>
  <c r="T1187" i="1"/>
  <c r="U1187" i="1"/>
  <c r="BB1187" i="1"/>
  <c r="BD1187" i="1"/>
  <c r="CE1187" i="1"/>
  <c r="A1188" i="1"/>
  <c r="C1188" i="1"/>
  <c r="S1188" i="1"/>
  <c r="T1188" i="1"/>
  <c r="U1188" i="1"/>
  <c r="BB1188" i="1"/>
  <c r="BD1188" i="1"/>
  <c r="CE1188" i="1"/>
  <c r="A1189" i="1"/>
  <c r="C1189" i="1"/>
  <c r="S1189" i="1"/>
  <c r="T1189" i="1"/>
  <c r="U1189" i="1"/>
  <c r="BB1189" i="1"/>
  <c r="BD1189" i="1"/>
  <c r="CE1189" i="1"/>
  <c r="A1190" i="1"/>
  <c r="C1190" i="1"/>
  <c r="S1190" i="1"/>
  <c r="T1190" i="1"/>
  <c r="U1190" i="1"/>
  <c r="BB1190" i="1"/>
  <c r="BD1190" i="1"/>
  <c r="CE1190" i="1"/>
  <c r="A1191" i="1"/>
  <c r="C1191" i="1"/>
  <c r="S1191" i="1"/>
  <c r="T1191" i="1"/>
  <c r="U1191" i="1"/>
  <c r="BB1191" i="1"/>
  <c r="BD1191" i="1"/>
  <c r="CE1191" i="1"/>
  <c r="A1192" i="1"/>
  <c r="C1192" i="1"/>
  <c r="S1192" i="1"/>
  <c r="T1192" i="1"/>
  <c r="U1192" i="1"/>
  <c r="BB1192" i="1"/>
  <c r="BD1192" i="1"/>
  <c r="CE1192" i="1"/>
  <c r="A1193" i="1"/>
  <c r="C1193" i="1"/>
  <c r="S1193" i="1"/>
  <c r="T1193" i="1"/>
  <c r="U1193" i="1"/>
  <c r="BB1193" i="1"/>
  <c r="BD1193" i="1"/>
  <c r="CE1193" i="1"/>
  <c r="A1194" i="1"/>
  <c r="C1194" i="1"/>
  <c r="S1194" i="1"/>
  <c r="T1194" i="1"/>
  <c r="U1194" i="1"/>
  <c r="BB1194" i="1"/>
  <c r="BD1194" i="1"/>
  <c r="CE1194" i="1"/>
  <c r="A1195" i="1"/>
  <c r="C1195" i="1"/>
  <c r="S1195" i="1"/>
  <c r="T1195" i="1"/>
  <c r="U1195" i="1"/>
  <c r="BB1195" i="1"/>
  <c r="BD1195" i="1"/>
  <c r="CE1195" i="1"/>
  <c r="A1196" i="1"/>
  <c r="C1196" i="1"/>
  <c r="S1196" i="1"/>
  <c r="T1196" i="1"/>
  <c r="U1196" i="1"/>
  <c r="BB1196" i="1"/>
  <c r="BD1196" i="1"/>
  <c r="CE1196" i="1"/>
  <c r="A1197" i="1"/>
  <c r="C1197" i="1"/>
  <c r="S1197" i="1"/>
  <c r="T1197" i="1"/>
  <c r="U1197" i="1"/>
  <c r="BB1197" i="1"/>
  <c r="BD1197" i="1"/>
  <c r="CE1197" i="1"/>
  <c r="A1198" i="1"/>
  <c r="C1198" i="1"/>
  <c r="S1198" i="1"/>
  <c r="T1198" i="1"/>
  <c r="U1198" i="1"/>
  <c r="BB1198" i="1"/>
  <c r="BD1198" i="1"/>
  <c r="CE1198" i="1"/>
  <c r="A1199" i="1"/>
  <c r="C1199" i="1"/>
  <c r="S1199" i="1"/>
  <c r="T1199" i="1"/>
  <c r="U1199" i="1"/>
  <c r="BB1199" i="1"/>
  <c r="BD1199" i="1"/>
  <c r="CE1199" i="1"/>
  <c r="A1200" i="1"/>
  <c r="C1200" i="1"/>
  <c r="S1200" i="1"/>
  <c r="T1200" i="1"/>
  <c r="U1200" i="1"/>
  <c r="BB1200" i="1"/>
  <c r="BD1200" i="1"/>
  <c r="CE1200" i="1"/>
  <c r="A1201" i="1"/>
  <c r="C1201" i="1"/>
  <c r="S1201" i="1"/>
  <c r="T1201" i="1"/>
  <c r="U1201" i="1"/>
  <c r="BB1201" i="1"/>
  <c r="BD1201" i="1"/>
  <c r="CE1201" i="1"/>
  <c r="A1202" i="1"/>
  <c r="C1202" i="1"/>
  <c r="S1202" i="1"/>
  <c r="T1202" i="1"/>
  <c r="U1202" i="1"/>
  <c r="BB1202" i="1"/>
  <c r="BD1202" i="1"/>
  <c r="CE1202" i="1"/>
  <c r="A1203" i="1"/>
  <c r="C1203" i="1"/>
  <c r="S1203" i="1"/>
  <c r="T1203" i="1"/>
  <c r="U1203" i="1"/>
  <c r="BB1203" i="1"/>
  <c r="BD1203" i="1"/>
  <c r="CE1203" i="1"/>
  <c r="A1204" i="1"/>
  <c r="C1204" i="1"/>
  <c r="S1204" i="1"/>
  <c r="T1204" i="1"/>
  <c r="U1204" i="1"/>
  <c r="BB1204" i="1"/>
  <c r="BD1204" i="1"/>
  <c r="CE1204" i="1"/>
  <c r="A1205" i="1"/>
  <c r="C1205" i="1"/>
  <c r="S1205" i="1"/>
  <c r="T1205" i="1"/>
  <c r="U1205" i="1"/>
  <c r="BB1205" i="1"/>
  <c r="BD1205" i="1"/>
  <c r="CE1205" i="1"/>
  <c r="A1206" i="1"/>
  <c r="C1206" i="1"/>
  <c r="S1206" i="1"/>
  <c r="T1206" i="1"/>
  <c r="U1206" i="1"/>
  <c r="BB1206" i="1"/>
  <c r="BD1206" i="1"/>
  <c r="CE1206" i="1"/>
  <c r="A1207" i="1"/>
  <c r="C1207" i="1"/>
  <c r="S1207" i="1"/>
  <c r="T1207" i="1"/>
  <c r="U1207" i="1"/>
  <c r="BB1207" i="1"/>
  <c r="BD1207" i="1"/>
  <c r="CE1207" i="1"/>
  <c r="A1208" i="1"/>
  <c r="C1208" i="1"/>
  <c r="S1208" i="1"/>
  <c r="T1208" i="1"/>
  <c r="U1208" i="1"/>
  <c r="BB1208" i="1"/>
  <c r="BD1208" i="1"/>
  <c r="CE1208" i="1"/>
  <c r="A1209" i="1"/>
  <c r="C1209" i="1"/>
  <c r="S1209" i="1"/>
  <c r="T1209" i="1"/>
  <c r="U1209" i="1"/>
  <c r="BB1209" i="1"/>
  <c r="BD1209" i="1"/>
  <c r="CE1209" i="1"/>
  <c r="A1210" i="1"/>
  <c r="C1210" i="1"/>
  <c r="S1210" i="1"/>
  <c r="T1210" i="1"/>
  <c r="U1210" i="1"/>
  <c r="BB1210" i="1"/>
  <c r="BD1210" i="1"/>
  <c r="CE1210" i="1"/>
  <c r="A1211" i="1"/>
  <c r="C1211" i="1"/>
  <c r="S1211" i="1"/>
  <c r="T1211" i="1"/>
  <c r="U1211" i="1"/>
  <c r="BB1211" i="1"/>
  <c r="BD1211" i="1"/>
  <c r="CE1211" i="1"/>
  <c r="A1212" i="1"/>
  <c r="C1212" i="1"/>
  <c r="S1212" i="1"/>
  <c r="T1212" i="1"/>
  <c r="U1212" i="1"/>
  <c r="BB1212" i="1"/>
  <c r="BD1212" i="1"/>
  <c r="CE1212" i="1"/>
  <c r="A1213" i="1"/>
  <c r="C1213" i="1"/>
  <c r="S1213" i="1"/>
  <c r="T1213" i="1"/>
  <c r="U1213" i="1"/>
  <c r="BB1213" i="1"/>
  <c r="BD1213" i="1"/>
  <c r="CE1213" i="1"/>
  <c r="A1214" i="1"/>
  <c r="C1214" i="1"/>
  <c r="S1214" i="1"/>
  <c r="T1214" i="1"/>
  <c r="U1214" i="1"/>
  <c r="BB1214" i="1"/>
  <c r="BD1214" i="1"/>
  <c r="CE1214" i="1"/>
  <c r="A1215" i="1"/>
  <c r="C1215" i="1"/>
  <c r="S1215" i="1"/>
  <c r="T1215" i="1"/>
  <c r="U1215" i="1"/>
  <c r="BB1215" i="1"/>
  <c r="BD1215" i="1"/>
  <c r="CE1215" i="1"/>
  <c r="A1216" i="1"/>
  <c r="C1216" i="1"/>
  <c r="S1216" i="1"/>
  <c r="T1216" i="1"/>
  <c r="U1216" i="1"/>
  <c r="BB1216" i="1"/>
  <c r="BD1216" i="1"/>
  <c r="CE1216" i="1"/>
  <c r="A1217" i="1"/>
  <c r="C1217" i="1"/>
  <c r="S1217" i="1"/>
  <c r="T1217" i="1"/>
  <c r="U1217" i="1"/>
  <c r="BB1217" i="1"/>
  <c r="BD1217" i="1"/>
  <c r="CE1217" i="1"/>
  <c r="A1218" i="1"/>
  <c r="C1218" i="1"/>
  <c r="S1218" i="1"/>
  <c r="T1218" i="1"/>
  <c r="U1218" i="1"/>
  <c r="BB1218" i="1"/>
  <c r="BD1218" i="1"/>
  <c r="CE1218" i="1"/>
  <c r="A1219" i="1"/>
  <c r="C1219" i="1"/>
  <c r="S1219" i="1"/>
  <c r="T1219" i="1"/>
  <c r="U1219" i="1"/>
  <c r="BB1219" i="1"/>
  <c r="BD1219" i="1"/>
  <c r="CE1219" i="1"/>
  <c r="A1220" i="1"/>
  <c r="C1220" i="1"/>
  <c r="S1220" i="1"/>
  <c r="T1220" i="1"/>
  <c r="U1220" i="1"/>
  <c r="BB1220" i="1"/>
  <c r="BD1220" i="1"/>
  <c r="CE1220" i="1"/>
  <c r="A1221" i="1"/>
  <c r="C1221" i="1"/>
  <c r="S1221" i="1"/>
  <c r="T1221" i="1"/>
  <c r="U1221" i="1"/>
  <c r="BB1221" i="1"/>
  <c r="BD1221" i="1"/>
  <c r="CE1221" i="1"/>
  <c r="A1222" i="1"/>
  <c r="C1222" i="1"/>
  <c r="S1222" i="1"/>
  <c r="T1222" i="1"/>
  <c r="U1222" i="1"/>
  <c r="BB1222" i="1"/>
  <c r="BD1222" i="1"/>
  <c r="CE1222" i="1"/>
  <c r="A1223" i="1"/>
  <c r="C1223" i="1"/>
  <c r="S1223" i="1"/>
  <c r="T1223" i="1"/>
  <c r="U1223" i="1"/>
  <c r="BB1223" i="1"/>
  <c r="BD1223" i="1"/>
  <c r="CE1223" i="1"/>
  <c r="A1224" i="1"/>
  <c r="C1224" i="1"/>
  <c r="S1224" i="1"/>
  <c r="T1224" i="1"/>
  <c r="U1224" i="1"/>
  <c r="BB1224" i="1"/>
  <c r="BD1224" i="1"/>
  <c r="CE1224" i="1"/>
  <c r="A1225" i="1"/>
  <c r="C1225" i="1"/>
  <c r="S1225" i="1"/>
  <c r="T1225" i="1"/>
  <c r="U1225" i="1"/>
  <c r="BB1225" i="1"/>
  <c r="BD1225" i="1"/>
  <c r="CE1225" i="1"/>
  <c r="A1226" i="1"/>
  <c r="C1226" i="1"/>
  <c r="S1226" i="1"/>
  <c r="T1226" i="1"/>
  <c r="U1226" i="1"/>
  <c r="BB1226" i="1"/>
  <c r="BD1226" i="1"/>
  <c r="CE1226" i="1"/>
  <c r="A1227" i="1"/>
  <c r="C1227" i="1"/>
  <c r="S1227" i="1"/>
  <c r="T1227" i="1"/>
  <c r="U1227" i="1"/>
  <c r="BB1227" i="1"/>
  <c r="BD1227" i="1"/>
  <c r="CE1227" i="1"/>
  <c r="A1228" i="1"/>
  <c r="C1228" i="1"/>
  <c r="S1228" i="1"/>
  <c r="T1228" i="1"/>
  <c r="U1228" i="1"/>
  <c r="BB1228" i="1"/>
  <c r="BD1228" i="1"/>
  <c r="CE1228" i="1"/>
  <c r="A1229" i="1"/>
  <c r="C1229" i="1"/>
  <c r="S1229" i="1"/>
  <c r="T1229" i="1"/>
  <c r="U1229" i="1"/>
  <c r="BB1229" i="1"/>
  <c r="BD1229" i="1"/>
  <c r="CE1229" i="1"/>
  <c r="A1230" i="1"/>
  <c r="C1230" i="1"/>
  <c r="S1230" i="1"/>
  <c r="T1230" i="1"/>
  <c r="U1230" i="1"/>
  <c r="BB1230" i="1"/>
  <c r="BD1230" i="1"/>
  <c r="CE1230" i="1"/>
  <c r="A1231" i="1"/>
  <c r="C1231" i="1"/>
  <c r="S1231" i="1"/>
  <c r="T1231" i="1"/>
  <c r="U1231" i="1"/>
  <c r="BB1231" i="1"/>
  <c r="BD1231" i="1"/>
  <c r="CE1231" i="1"/>
  <c r="A1232" i="1"/>
  <c r="C1232" i="1"/>
  <c r="S1232" i="1"/>
  <c r="T1232" i="1"/>
  <c r="U1232" i="1"/>
  <c r="BB1232" i="1"/>
  <c r="BD1232" i="1"/>
  <c r="CE1232" i="1"/>
  <c r="A1233" i="1"/>
  <c r="C1233" i="1"/>
  <c r="S1233" i="1"/>
  <c r="T1233" i="1"/>
  <c r="U1233" i="1"/>
  <c r="BB1233" i="1"/>
  <c r="BD1233" i="1"/>
  <c r="CE1233" i="1"/>
  <c r="A1234" i="1"/>
  <c r="C1234" i="1"/>
  <c r="S1234" i="1"/>
  <c r="T1234" i="1"/>
  <c r="U1234" i="1"/>
  <c r="BB1234" i="1"/>
  <c r="BD1234" i="1"/>
  <c r="CE1234" i="1"/>
  <c r="A1235" i="1"/>
  <c r="C1235" i="1"/>
  <c r="S1235" i="1"/>
  <c r="T1235" i="1"/>
  <c r="U1235" i="1"/>
  <c r="BB1235" i="1"/>
  <c r="BD1235" i="1"/>
  <c r="CE1235" i="1"/>
  <c r="A1236" i="1"/>
  <c r="C1236" i="1"/>
  <c r="S1236" i="1"/>
  <c r="T1236" i="1"/>
  <c r="U1236" i="1"/>
  <c r="BB1236" i="1"/>
  <c r="BD1236" i="1"/>
  <c r="CE1236" i="1"/>
  <c r="A1237" i="1"/>
  <c r="C1237" i="1"/>
  <c r="S1237" i="1"/>
  <c r="T1237" i="1"/>
  <c r="U1237" i="1"/>
  <c r="BB1237" i="1"/>
  <c r="BD1237" i="1"/>
  <c r="CE1237" i="1"/>
  <c r="A1238" i="1"/>
  <c r="C1238" i="1"/>
  <c r="S1238" i="1"/>
  <c r="T1238" i="1"/>
  <c r="U1238" i="1"/>
  <c r="BB1238" i="1"/>
  <c r="BD1238" i="1"/>
  <c r="CE1238" i="1"/>
  <c r="A1239" i="1"/>
  <c r="C1239" i="1"/>
  <c r="S1239" i="1"/>
  <c r="T1239" i="1"/>
  <c r="U1239" i="1"/>
  <c r="BB1239" i="1"/>
  <c r="BD1239" i="1"/>
  <c r="CE1239" i="1"/>
  <c r="A1240" i="1"/>
  <c r="C1240" i="1"/>
  <c r="S1240" i="1"/>
  <c r="T1240" i="1"/>
  <c r="U1240" i="1"/>
  <c r="BB1240" i="1"/>
  <c r="BD1240" i="1"/>
  <c r="CE1240" i="1"/>
  <c r="A1241" i="1"/>
  <c r="C1241" i="1"/>
  <c r="S1241" i="1"/>
  <c r="T1241" i="1"/>
  <c r="U1241" i="1"/>
  <c r="BB1241" i="1"/>
  <c r="BD1241" i="1"/>
  <c r="CE1241" i="1"/>
  <c r="A1242" i="1"/>
  <c r="C1242" i="1"/>
  <c r="S1242" i="1"/>
  <c r="T1242" i="1"/>
  <c r="U1242" i="1"/>
  <c r="BB1242" i="1"/>
  <c r="BD1242" i="1"/>
  <c r="CE1242" i="1"/>
  <c r="A1243" i="1"/>
  <c r="C1243" i="1"/>
  <c r="S1243" i="1"/>
  <c r="T1243" i="1"/>
  <c r="U1243" i="1"/>
  <c r="BB1243" i="1"/>
  <c r="BD1243" i="1"/>
  <c r="CE1243" i="1"/>
  <c r="A1244" i="1"/>
  <c r="C1244" i="1"/>
  <c r="S1244" i="1"/>
  <c r="T1244" i="1"/>
  <c r="U1244" i="1"/>
  <c r="BB1244" i="1"/>
  <c r="BD1244" i="1"/>
  <c r="CE1244" i="1"/>
  <c r="A1245" i="1"/>
  <c r="C1245" i="1"/>
  <c r="S1245" i="1"/>
  <c r="T1245" i="1"/>
  <c r="U1245" i="1"/>
  <c r="BB1245" i="1"/>
  <c r="BD1245" i="1"/>
  <c r="CE1245" i="1"/>
  <c r="A1246" i="1"/>
  <c r="C1246" i="1"/>
  <c r="S1246" i="1"/>
  <c r="T1246" i="1"/>
  <c r="U1246" i="1"/>
  <c r="BB1246" i="1"/>
  <c r="BD1246" i="1"/>
  <c r="CE1246" i="1"/>
  <c r="A1247" i="1"/>
  <c r="C1247" i="1"/>
  <c r="S1247" i="1"/>
  <c r="T1247" i="1"/>
  <c r="U1247" i="1"/>
  <c r="BB1247" i="1"/>
  <c r="BD1247" i="1"/>
  <c r="CE1247" i="1"/>
  <c r="A1248" i="1"/>
  <c r="C1248" i="1"/>
  <c r="S1248" i="1"/>
  <c r="T1248" i="1"/>
  <c r="U1248" i="1"/>
  <c r="BB1248" i="1"/>
  <c r="BD1248" i="1"/>
  <c r="CE1248" i="1"/>
  <c r="A1249" i="1"/>
  <c r="C1249" i="1"/>
  <c r="S1249" i="1"/>
  <c r="T1249" i="1"/>
  <c r="U1249" i="1"/>
  <c r="BB1249" i="1"/>
  <c r="BD1249" i="1"/>
  <c r="CE1249" i="1"/>
  <c r="A1250" i="1"/>
  <c r="C1250" i="1"/>
  <c r="S1250" i="1"/>
  <c r="T1250" i="1"/>
  <c r="U1250" i="1"/>
  <c r="BB1250" i="1"/>
  <c r="BD1250" i="1"/>
  <c r="CE1250" i="1"/>
  <c r="A1251" i="1"/>
  <c r="C1251" i="1"/>
  <c r="S1251" i="1"/>
  <c r="T1251" i="1"/>
  <c r="U1251" i="1"/>
  <c r="BB1251" i="1"/>
  <c r="BD1251" i="1"/>
  <c r="CE1251" i="1"/>
  <c r="A1252" i="1"/>
  <c r="C1252" i="1"/>
  <c r="S1252" i="1"/>
  <c r="T1252" i="1"/>
  <c r="U1252" i="1"/>
  <c r="BB1252" i="1"/>
  <c r="BD1252" i="1"/>
  <c r="CE1252" i="1"/>
  <c r="A1253" i="1"/>
  <c r="C1253" i="1"/>
  <c r="S1253" i="1"/>
  <c r="T1253" i="1"/>
  <c r="U1253" i="1"/>
  <c r="BB1253" i="1"/>
  <c r="BD1253" i="1"/>
  <c r="CE1253" i="1"/>
  <c r="A1254" i="1"/>
  <c r="C1254" i="1"/>
  <c r="S1254" i="1"/>
  <c r="T1254" i="1"/>
  <c r="U1254" i="1"/>
  <c r="BB1254" i="1"/>
  <c r="BD1254" i="1"/>
  <c r="CE1254" i="1"/>
  <c r="A1255" i="1"/>
  <c r="C1255" i="1"/>
  <c r="S1255" i="1"/>
  <c r="T1255" i="1"/>
  <c r="U1255" i="1"/>
  <c r="BB1255" i="1"/>
  <c r="BD1255" i="1"/>
  <c r="CE1255" i="1"/>
  <c r="A1256" i="1"/>
  <c r="C1256" i="1"/>
  <c r="S1256" i="1"/>
  <c r="T1256" i="1"/>
  <c r="U1256" i="1"/>
  <c r="BB1256" i="1"/>
  <c r="BD1256" i="1"/>
  <c r="CE1256" i="1"/>
  <c r="A1257" i="1"/>
  <c r="C1257" i="1"/>
  <c r="S1257" i="1"/>
  <c r="T1257" i="1"/>
  <c r="U1257" i="1"/>
  <c r="BB1257" i="1"/>
  <c r="BD1257" i="1"/>
  <c r="CE1257" i="1"/>
  <c r="A1258" i="1"/>
  <c r="C1258" i="1"/>
  <c r="S1258" i="1"/>
  <c r="T1258" i="1"/>
  <c r="U1258" i="1"/>
  <c r="BB1258" i="1"/>
  <c r="BD1258" i="1"/>
  <c r="CE1258" i="1"/>
  <c r="A1259" i="1"/>
  <c r="C1259" i="1"/>
  <c r="S1259" i="1"/>
  <c r="T1259" i="1"/>
  <c r="U1259" i="1"/>
  <c r="BB1259" i="1"/>
  <c r="BD1259" i="1"/>
  <c r="CE1259" i="1"/>
  <c r="A1260" i="1"/>
  <c r="C1260" i="1"/>
  <c r="S1260" i="1"/>
  <c r="T1260" i="1"/>
  <c r="U1260" i="1"/>
  <c r="BB1260" i="1"/>
  <c r="BD1260" i="1"/>
  <c r="CE1260" i="1"/>
  <c r="A1261" i="1"/>
  <c r="C1261" i="1"/>
  <c r="S1261" i="1"/>
  <c r="T1261" i="1"/>
  <c r="U1261" i="1"/>
  <c r="BB1261" i="1"/>
  <c r="BD1261" i="1"/>
  <c r="CE1261" i="1"/>
  <c r="A1262" i="1"/>
  <c r="C1262" i="1"/>
  <c r="S1262" i="1"/>
  <c r="T1262" i="1"/>
  <c r="U1262" i="1"/>
  <c r="BB1262" i="1"/>
  <c r="BD1262" i="1"/>
  <c r="CE1262" i="1"/>
  <c r="A1263" i="1"/>
  <c r="C1263" i="1"/>
  <c r="S1263" i="1"/>
  <c r="T1263" i="1"/>
  <c r="U1263" i="1"/>
  <c r="BB1263" i="1"/>
  <c r="BD1263" i="1"/>
  <c r="CE1263" i="1"/>
  <c r="A1264" i="1"/>
  <c r="C1264" i="1"/>
  <c r="S1264" i="1"/>
  <c r="T1264" i="1"/>
  <c r="U1264" i="1"/>
  <c r="BB1264" i="1"/>
  <c r="BD1264" i="1"/>
  <c r="CE1264" i="1"/>
  <c r="A1265" i="1"/>
  <c r="C1265" i="1"/>
  <c r="S1265" i="1"/>
  <c r="T1265" i="1"/>
  <c r="U1265" i="1"/>
  <c r="BB1265" i="1"/>
  <c r="BD1265" i="1"/>
  <c r="CE1265" i="1"/>
  <c r="A1266" i="1"/>
  <c r="C1266" i="1"/>
  <c r="S1266" i="1"/>
  <c r="T1266" i="1"/>
  <c r="U1266" i="1"/>
  <c r="BB1266" i="1"/>
  <c r="BD1266" i="1"/>
  <c r="CE1266" i="1"/>
  <c r="A1267" i="1"/>
  <c r="C1267" i="1"/>
  <c r="S1267" i="1"/>
  <c r="T1267" i="1"/>
  <c r="U1267" i="1"/>
  <c r="BB1267" i="1"/>
  <c r="BD1267" i="1"/>
  <c r="CE1267" i="1"/>
  <c r="A1268" i="1"/>
  <c r="C1268" i="1"/>
  <c r="S1268" i="1"/>
  <c r="T1268" i="1"/>
  <c r="U1268" i="1"/>
  <c r="BB1268" i="1"/>
  <c r="BD1268" i="1"/>
  <c r="CE1268" i="1"/>
  <c r="A1269" i="1"/>
  <c r="C1269" i="1"/>
  <c r="S1269" i="1"/>
  <c r="T1269" i="1"/>
  <c r="U1269" i="1"/>
  <c r="BB1269" i="1"/>
  <c r="BD1269" i="1"/>
  <c r="CE1269" i="1"/>
  <c r="A1270" i="1"/>
  <c r="C1270" i="1"/>
  <c r="S1270" i="1"/>
  <c r="T1270" i="1"/>
  <c r="U1270" i="1"/>
  <c r="BB1270" i="1"/>
  <c r="BD1270" i="1"/>
  <c r="CE1270" i="1"/>
  <c r="A1271" i="1"/>
  <c r="C1271" i="1"/>
  <c r="S1271" i="1"/>
  <c r="T1271" i="1"/>
  <c r="U1271" i="1"/>
  <c r="BB1271" i="1"/>
  <c r="BD1271" i="1"/>
  <c r="CE1271" i="1"/>
  <c r="A1272" i="1"/>
  <c r="C1272" i="1"/>
  <c r="S1272" i="1"/>
  <c r="T1272" i="1"/>
  <c r="U1272" i="1"/>
  <c r="BB1272" i="1"/>
  <c r="BD1272" i="1"/>
  <c r="CE1272" i="1"/>
  <c r="A1273" i="1"/>
  <c r="C1273" i="1"/>
  <c r="S1273" i="1"/>
  <c r="T1273" i="1"/>
  <c r="U1273" i="1"/>
  <c r="BB1273" i="1"/>
  <c r="BD1273" i="1"/>
  <c r="CE1273" i="1"/>
  <c r="A1274" i="1"/>
  <c r="C1274" i="1"/>
  <c r="S1274" i="1"/>
  <c r="T1274" i="1"/>
  <c r="U1274" i="1"/>
  <c r="BB1274" i="1"/>
  <c r="BD1274" i="1"/>
  <c r="CE1274" i="1"/>
  <c r="A1275" i="1"/>
  <c r="C1275" i="1"/>
  <c r="S1275" i="1"/>
  <c r="T1275" i="1"/>
  <c r="U1275" i="1"/>
  <c r="BB1275" i="1"/>
  <c r="BD1275" i="1"/>
  <c r="CE1275" i="1"/>
  <c r="A1276" i="1"/>
  <c r="C1276" i="1"/>
  <c r="S1276" i="1"/>
  <c r="T1276" i="1"/>
  <c r="U1276" i="1"/>
  <c r="BB1276" i="1"/>
  <c r="BD1276" i="1"/>
  <c r="CE1276" i="1"/>
  <c r="A1277" i="1"/>
  <c r="C1277" i="1"/>
  <c r="S1277" i="1"/>
  <c r="T1277" i="1"/>
  <c r="U1277" i="1"/>
  <c r="BB1277" i="1"/>
  <c r="BD1277" i="1"/>
  <c r="CE1277" i="1"/>
  <c r="A1278" i="1"/>
  <c r="C1278" i="1"/>
  <c r="S1278" i="1"/>
  <c r="T1278" i="1"/>
  <c r="U1278" i="1"/>
  <c r="BB1278" i="1"/>
  <c r="BD1278" i="1"/>
  <c r="CE1278" i="1"/>
  <c r="A1279" i="1"/>
  <c r="C1279" i="1"/>
  <c r="S1279" i="1"/>
  <c r="T1279" i="1"/>
  <c r="U1279" i="1"/>
  <c r="BB1279" i="1"/>
  <c r="BD1279" i="1"/>
  <c r="CE1279" i="1"/>
  <c r="A1280" i="1"/>
  <c r="C1280" i="1"/>
  <c r="S1280" i="1"/>
  <c r="T1280" i="1"/>
  <c r="U1280" i="1"/>
  <c r="BB1280" i="1"/>
  <c r="BD1280" i="1"/>
  <c r="CE1280" i="1"/>
  <c r="A1281" i="1"/>
  <c r="C1281" i="1"/>
  <c r="S1281" i="1"/>
  <c r="T1281" i="1"/>
  <c r="U1281" i="1"/>
  <c r="BB1281" i="1"/>
  <c r="BD1281" i="1"/>
  <c r="CE1281" i="1"/>
  <c r="A1282" i="1"/>
  <c r="C1282" i="1"/>
  <c r="S1282" i="1"/>
  <c r="T1282" i="1"/>
  <c r="U1282" i="1"/>
  <c r="BB1282" i="1"/>
  <c r="BD1282" i="1"/>
  <c r="CE1282" i="1"/>
  <c r="A1283" i="1"/>
  <c r="C1283" i="1"/>
  <c r="S1283" i="1"/>
  <c r="T1283" i="1"/>
  <c r="U1283" i="1"/>
  <c r="BB1283" i="1"/>
  <c r="BD1283" i="1"/>
  <c r="CE1283" i="1"/>
  <c r="A1284" i="1"/>
  <c r="C1284" i="1"/>
  <c r="S1284" i="1"/>
  <c r="T1284" i="1"/>
  <c r="U1284" i="1"/>
  <c r="BB1284" i="1"/>
  <c r="BD1284" i="1"/>
  <c r="CE1284" i="1"/>
  <c r="A1285" i="1"/>
  <c r="C1285" i="1"/>
  <c r="S1285" i="1"/>
  <c r="T1285" i="1"/>
  <c r="U1285" i="1"/>
  <c r="BB1285" i="1"/>
  <c r="BD1285" i="1"/>
  <c r="CE1285" i="1"/>
  <c r="A1286" i="1"/>
  <c r="C1286" i="1"/>
  <c r="S1286" i="1"/>
  <c r="T1286" i="1"/>
  <c r="U1286" i="1"/>
  <c r="BB1286" i="1"/>
  <c r="BD1286" i="1"/>
  <c r="CE1286" i="1"/>
  <c r="A1287" i="1"/>
  <c r="C1287" i="1"/>
  <c r="S1287" i="1"/>
  <c r="T1287" i="1"/>
  <c r="U1287" i="1"/>
  <c r="BB1287" i="1"/>
  <c r="BD1287" i="1"/>
  <c r="CE1287" i="1"/>
  <c r="A1288" i="1"/>
  <c r="C1288" i="1"/>
  <c r="S1288" i="1"/>
  <c r="T1288" i="1"/>
  <c r="U1288" i="1"/>
  <c r="BB1288" i="1"/>
  <c r="BD1288" i="1"/>
  <c r="CE1288" i="1"/>
  <c r="A1289" i="1"/>
  <c r="C1289" i="1"/>
  <c r="S1289" i="1"/>
  <c r="T1289" i="1"/>
  <c r="U1289" i="1"/>
  <c r="BB1289" i="1"/>
  <c r="BD1289" i="1"/>
  <c r="CE1289" i="1"/>
  <c r="A1290" i="1"/>
  <c r="C1290" i="1"/>
  <c r="S1290" i="1"/>
  <c r="T1290" i="1"/>
  <c r="U1290" i="1"/>
  <c r="BB1290" i="1"/>
  <c r="BD1290" i="1"/>
  <c r="CE1290" i="1"/>
  <c r="A1291" i="1"/>
  <c r="C1291" i="1"/>
  <c r="S1291" i="1"/>
  <c r="T1291" i="1"/>
  <c r="U1291" i="1"/>
  <c r="BB1291" i="1"/>
  <c r="BD1291" i="1"/>
  <c r="CE1291" i="1"/>
  <c r="A1292" i="1"/>
  <c r="C1292" i="1"/>
  <c r="S1292" i="1"/>
  <c r="T1292" i="1"/>
  <c r="U1292" i="1"/>
  <c r="BB1292" i="1"/>
  <c r="BD1292" i="1"/>
  <c r="CE1292" i="1"/>
  <c r="A1293" i="1"/>
  <c r="C1293" i="1"/>
  <c r="S1293" i="1"/>
  <c r="T1293" i="1"/>
  <c r="U1293" i="1"/>
  <c r="BB1293" i="1"/>
  <c r="BD1293" i="1"/>
  <c r="CE1293" i="1"/>
  <c r="A1294" i="1"/>
  <c r="C1294" i="1"/>
  <c r="S1294" i="1"/>
  <c r="T1294" i="1"/>
  <c r="U1294" i="1"/>
  <c r="BB1294" i="1"/>
  <c r="BD1294" i="1"/>
  <c r="CE1294" i="1"/>
  <c r="A1295" i="1"/>
  <c r="C1295" i="1"/>
  <c r="S1295" i="1"/>
  <c r="T1295" i="1"/>
  <c r="U1295" i="1"/>
  <c r="BB1295" i="1"/>
  <c r="BD1295" i="1"/>
  <c r="CE1295" i="1"/>
  <c r="A1296" i="1"/>
  <c r="C1296" i="1"/>
  <c r="S1296" i="1"/>
  <c r="T1296" i="1"/>
  <c r="U1296" i="1"/>
  <c r="BB1296" i="1"/>
  <c r="BD1296" i="1"/>
  <c r="CE1296" i="1"/>
  <c r="A1297" i="1"/>
  <c r="C1297" i="1"/>
  <c r="S1297" i="1"/>
  <c r="T1297" i="1"/>
  <c r="U1297" i="1"/>
  <c r="BB1297" i="1"/>
  <c r="BD1297" i="1"/>
  <c r="CE1297" i="1"/>
  <c r="A1298" i="1"/>
  <c r="C1298" i="1"/>
  <c r="S1298" i="1"/>
  <c r="T1298" i="1"/>
  <c r="U1298" i="1"/>
  <c r="BB1298" i="1"/>
  <c r="BD1298" i="1"/>
  <c r="CE1298" i="1"/>
  <c r="A1299" i="1"/>
  <c r="C1299" i="1"/>
  <c r="S1299" i="1"/>
  <c r="T1299" i="1"/>
  <c r="U1299" i="1"/>
  <c r="BB1299" i="1"/>
  <c r="BD1299" i="1"/>
  <c r="CE1299" i="1"/>
  <c r="A1300" i="1"/>
  <c r="C1300" i="1"/>
  <c r="S1300" i="1"/>
  <c r="T1300" i="1"/>
  <c r="U1300" i="1"/>
  <c r="BB1300" i="1"/>
  <c r="BD1300" i="1"/>
  <c r="CE1300" i="1"/>
  <c r="A1301" i="1"/>
  <c r="C1301" i="1"/>
  <c r="S1301" i="1"/>
  <c r="T1301" i="1"/>
  <c r="U1301" i="1"/>
  <c r="BB1301" i="1"/>
  <c r="BD1301" i="1"/>
  <c r="CE1301" i="1"/>
  <c r="A1302" i="1"/>
  <c r="C1302" i="1"/>
  <c r="S1302" i="1"/>
  <c r="T1302" i="1"/>
  <c r="U1302" i="1"/>
  <c r="BB1302" i="1"/>
  <c r="BD1302" i="1"/>
  <c r="CE1302" i="1"/>
  <c r="A1303" i="1"/>
  <c r="C1303" i="1"/>
  <c r="S1303" i="1"/>
  <c r="T1303" i="1"/>
  <c r="U1303" i="1"/>
  <c r="BB1303" i="1"/>
  <c r="BD1303" i="1"/>
  <c r="CE1303" i="1"/>
  <c r="A1304" i="1"/>
  <c r="C1304" i="1"/>
  <c r="S1304" i="1"/>
  <c r="T1304" i="1"/>
  <c r="U1304" i="1"/>
  <c r="BB1304" i="1"/>
  <c r="BD1304" i="1"/>
  <c r="CE1304" i="1"/>
  <c r="A1305" i="1"/>
  <c r="C1305" i="1"/>
  <c r="S1305" i="1"/>
  <c r="T1305" i="1"/>
  <c r="U1305" i="1"/>
  <c r="BB1305" i="1"/>
  <c r="BD1305" i="1"/>
  <c r="CE1305" i="1"/>
  <c r="A1306" i="1"/>
  <c r="C1306" i="1"/>
  <c r="S1306" i="1"/>
  <c r="T1306" i="1"/>
  <c r="U1306" i="1"/>
  <c r="BB1306" i="1"/>
  <c r="BD1306" i="1"/>
  <c r="CE1306" i="1"/>
  <c r="A1307" i="1"/>
  <c r="C1307" i="1"/>
  <c r="S1307" i="1"/>
  <c r="T1307" i="1"/>
  <c r="U1307" i="1"/>
  <c r="BB1307" i="1"/>
  <c r="BD1307" i="1"/>
  <c r="CE1307" i="1"/>
  <c r="A1308" i="1"/>
  <c r="C1308" i="1"/>
  <c r="S1308" i="1"/>
  <c r="T1308" i="1"/>
  <c r="U1308" i="1"/>
  <c r="BB1308" i="1"/>
  <c r="BD1308" i="1"/>
  <c r="CE1308" i="1"/>
  <c r="A1309" i="1"/>
  <c r="C1309" i="1"/>
  <c r="S1309" i="1"/>
  <c r="T1309" i="1"/>
  <c r="U1309" i="1"/>
  <c r="BB1309" i="1"/>
  <c r="BD1309" i="1"/>
  <c r="CE1309" i="1"/>
  <c r="A1310" i="1"/>
  <c r="C1310" i="1"/>
  <c r="S1310" i="1"/>
  <c r="T1310" i="1"/>
  <c r="U1310" i="1"/>
  <c r="BB1310" i="1"/>
  <c r="BD1310" i="1"/>
  <c r="CE1310" i="1"/>
  <c r="A1311" i="1"/>
  <c r="C1311" i="1"/>
  <c r="S1311" i="1"/>
  <c r="T1311" i="1"/>
  <c r="U1311" i="1"/>
  <c r="BB1311" i="1"/>
  <c r="BD1311" i="1"/>
  <c r="CE1311" i="1"/>
  <c r="A1312" i="1"/>
  <c r="C1312" i="1"/>
  <c r="S1312" i="1"/>
  <c r="T1312" i="1"/>
  <c r="U1312" i="1"/>
  <c r="BB1312" i="1"/>
  <c r="BD1312" i="1"/>
  <c r="CE1312" i="1"/>
  <c r="A1313" i="1"/>
  <c r="C1313" i="1"/>
  <c r="S1313" i="1"/>
  <c r="T1313" i="1"/>
  <c r="U1313" i="1"/>
  <c r="BB1313" i="1"/>
  <c r="BD1313" i="1"/>
  <c r="CE1313" i="1"/>
  <c r="A1314" i="1"/>
  <c r="C1314" i="1"/>
  <c r="S1314" i="1"/>
  <c r="T1314" i="1"/>
  <c r="U1314" i="1"/>
  <c r="BB1314" i="1"/>
  <c r="BD1314" i="1"/>
  <c r="CE1314" i="1"/>
  <c r="A1315" i="1"/>
  <c r="C1315" i="1"/>
  <c r="S1315" i="1"/>
  <c r="T1315" i="1"/>
  <c r="U1315" i="1"/>
  <c r="BB1315" i="1"/>
  <c r="BD1315" i="1"/>
  <c r="CE1315" i="1"/>
  <c r="A1316" i="1"/>
  <c r="C1316" i="1"/>
  <c r="S1316" i="1"/>
  <c r="T1316" i="1"/>
  <c r="U1316" i="1"/>
  <c r="BB1316" i="1"/>
  <c r="BD1316" i="1"/>
  <c r="CE1316" i="1"/>
  <c r="A1317" i="1"/>
  <c r="C1317" i="1"/>
  <c r="S1317" i="1"/>
  <c r="T1317" i="1"/>
  <c r="U1317" i="1"/>
  <c r="BB1317" i="1"/>
  <c r="BD1317" i="1"/>
  <c r="CE1317" i="1"/>
  <c r="A1318" i="1"/>
  <c r="C1318" i="1"/>
  <c r="S1318" i="1"/>
  <c r="T1318" i="1"/>
  <c r="U1318" i="1"/>
  <c r="BB1318" i="1"/>
  <c r="BD1318" i="1"/>
  <c r="CE1318" i="1"/>
  <c r="A1319" i="1"/>
  <c r="C1319" i="1"/>
  <c r="S1319" i="1"/>
  <c r="T1319" i="1"/>
  <c r="U1319" i="1"/>
  <c r="BB1319" i="1"/>
  <c r="BD1319" i="1"/>
  <c r="CE1319" i="1"/>
</calcChain>
</file>

<file path=xl/sharedStrings.xml><?xml version="1.0" encoding="utf-8"?>
<sst xmlns="http://schemas.openxmlformats.org/spreadsheetml/2006/main" count="14609" uniqueCount="679">
  <si>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</si>
  <si>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</si>
  <si>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</si>
  <si>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</si>
  <si>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</si>
  <si>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</si>
  <si>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</si>
  <si>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</si>
  <si>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</si>
  <si>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</si>
  <si>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</si>
  <si>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</si>
  <si>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</si>
  <si>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</si>
  <si>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</si>
  <si>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</si>
  <si>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</si>
  <si>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</si>
  <si>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</si>
  <si>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</si>
  <si>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</si>
  <si>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</si>
  <si>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</si>
  <si>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</si>
  <si>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</si>
  <si>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</si>
  <si>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</si>
  <si>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</si>
  <si>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</si>
  <si>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</si>
  <si>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</si>
  <si>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</si>
  <si>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</si>
  <si>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</si>
  <si>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</si>
  <si>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</si>
  <si>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</si>
  <si>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</si>
  <si>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</si>
  <si>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</si>
  <si>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</si>
  <si>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</si>
  <si>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</si>
  <si>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</si>
  <si>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</si>
  <si>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</si>
  <si>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</si>
  <si>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</si>
  <si>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</si>
  <si>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</si>
  <si>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</si>
  <si>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</si>
  <si>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</si>
  <si>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</si>
  <si>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</si>
  <si>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</si>
  <si>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</si>
  <si>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</si>
  <si>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</si>
  <si>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</si>
  <si>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</si>
  <si>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</si>
  <si>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</si>
  <si>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</si>
  <si>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</si>
  <si>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</si>
  <si>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</si>
  <si>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</si>
  <si>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</si>
  <si>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</si>
  <si>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</si>
  <si>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</si>
  <si>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</si>
  <si>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</si>
  <si>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</si>
  <si>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</si>
  <si>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</si>
  <si>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</si>
  <si>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</si>
  <si>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</si>
  <si>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</si>
  <si>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</si>
  <si>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</si>
  <si>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</si>
  <si>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</si>
  <si>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</si>
  <si>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</si>
  <si>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</si>
  <si>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</si>
  <si>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</si>
  <si>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</si>
  <si>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</si>
  <si>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</si>
  <si>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</si>
  <si>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</si>
  <si>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</si>
  <si>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</si>
  <si>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</si>
  <si>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</si>
  <si>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</si>
  <si>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</si>
  <si>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</si>
  <si>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</si>
  <si>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</si>
  <si>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</si>
  <si>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</si>
  <si>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</si>
  <si>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</si>
  <si>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</si>
  <si>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</si>
  <si>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</si>
  <si>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</si>
  <si>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</si>
  <si>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</si>
  <si>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</si>
  <si>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</si>
  <si>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</si>
  <si>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</si>
  <si>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</si>
  <si>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</si>
  <si>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</si>
  <si>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</si>
  <si>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</si>
  <si>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C1</t>
  </si>
  <si>
    <t>Ft Worth</t>
  </si>
  <si>
    <t>EnrouteCTV</t>
  </si>
  <si>
    <t>None</t>
  </si>
  <si>
    <t>031:56:53.83 N</t>
  </si>
  <si>
    <t>101:06:39.98 W</t>
  </si>
  <si>
    <t>GNSS</t>
  </si>
  <si>
    <t>NoneAvailable</t>
  </si>
  <si>
    <t>RS - HP 1090 Multi Chl Radio</t>
  </si>
  <si>
    <t>154-22</t>
  </si>
  <si>
    <t>SJT</t>
  </si>
  <si>
    <t>Houston</t>
  </si>
  <si>
    <t>DD</t>
  </si>
  <si>
    <t>San Angelo (Mathis)</t>
  </si>
  <si>
    <t>Terminal</t>
  </si>
  <si>
    <t>DA</t>
  </si>
  <si>
    <t>Enroute</t>
  </si>
  <si>
    <t>031:56:54.83 N</t>
  </si>
  <si>
    <t>101:06:41.29 W</t>
  </si>
  <si>
    <t>031:56:55.99 N</t>
  </si>
  <si>
    <t>101:06:42.60 W</t>
  </si>
  <si>
    <t>031:56:56.99 N</t>
  </si>
  <si>
    <t>101:06:43.99 W</t>
  </si>
  <si>
    <t>031:56:58.23 N</t>
  </si>
  <si>
    <t>101:06:45.38 W</t>
  </si>
  <si>
    <t>031:56:59.00 N</t>
  </si>
  <si>
    <t>101:06:46.39 W</t>
  </si>
  <si>
    <t>031:57:00.55 N</t>
  </si>
  <si>
    <t>101:06:48.24 W</t>
  </si>
  <si>
    <t>031:57:02.09 N</t>
  </si>
  <si>
    <t>101:06:50.17 W</t>
  </si>
  <si>
    <t>031:57:03.71 N</t>
  </si>
  <si>
    <t>101:06:51.95 W</t>
  </si>
  <si>
    <t>031:57:05.57 N</t>
  </si>
  <si>
    <t>101:06:54.11 W</t>
  </si>
  <si>
    <t>031:57:07.19 N</t>
  </si>
  <si>
    <t>101:06:56.12 W</t>
  </si>
  <si>
    <t>031:57:08.66 N</t>
  </si>
  <si>
    <t>101:06:57.90 W</t>
  </si>
  <si>
    <t>031:57:10.28 N</t>
  </si>
  <si>
    <t>101:06:59.67 W</t>
  </si>
  <si>
    <t>C2</t>
  </si>
  <si>
    <t>Dallas-Ft Worth TRACON CTV</t>
  </si>
  <si>
    <t>TerminalCTV</t>
  </si>
  <si>
    <t>031:57:11.28 N</t>
  </si>
  <si>
    <t>101:07:00.83 W</t>
  </si>
  <si>
    <t>133-01</t>
  </si>
  <si>
    <t>SWW</t>
  </si>
  <si>
    <t>031:57:13.29 N</t>
  </si>
  <si>
    <t>101:07:03.15 W</t>
  </si>
  <si>
    <t>031:57:15.46 N</t>
  </si>
  <si>
    <t>101:07:05.62 W</t>
  </si>
  <si>
    <t>031:57:17.08 N</t>
  </si>
  <si>
    <t>101:07:07.79 W</t>
  </si>
  <si>
    <t>031:57:21.33 N</t>
  </si>
  <si>
    <t>101:07:13.12 W</t>
  </si>
  <si>
    <t>031:57:22.87 N</t>
  </si>
  <si>
    <t>101:07:15.05 W</t>
  </si>
  <si>
    <t>031:57:24.18 N</t>
  </si>
  <si>
    <t>101:07:16.82 W</t>
  </si>
  <si>
    <t>031:57:24.88 N</t>
  </si>
  <si>
    <t>101:07:17.67 W</t>
  </si>
  <si>
    <t>031:57:25.81 N</t>
  </si>
  <si>
    <t>101:07:19.06 W</t>
  </si>
  <si>
    <t>031:57:26.89 N</t>
  </si>
  <si>
    <t>101:07:20.30 W</t>
  </si>
  <si>
    <t>031:57:38.55 N</t>
  </si>
  <si>
    <t>101:07:41.08 W</t>
  </si>
  <si>
    <t>031:57:39.94 N</t>
  </si>
  <si>
    <t>101:07:44.56 W</t>
  </si>
  <si>
    <t>031:57:40.79 N</t>
  </si>
  <si>
    <t>101:07:47.49 W</t>
  </si>
  <si>
    <t>031:57:41.33 N</t>
  </si>
  <si>
    <t>101:07:49.11 W</t>
  </si>
  <si>
    <t>031:57:41.80 N</t>
  </si>
  <si>
    <t>101:07:50.81 W</t>
  </si>
  <si>
    <t>031:57:42.42 N</t>
  </si>
  <si>
    <t>101:07:55.99 W</t>
  </si>
  <si>
    <t>101:07:58.69 W</t>
  </si>
  <si>
    <t>031:57:42.80 N</t>
  </si>
  <si>
    <t>101:08:00.93 W</t>
  </si>
  <si>
    <t>031:57:42.96 N</t>
  </si>
  <si>
    <t>101:08:03.48 W</t>
  </si>
  <si>
    <t>101:08:05.49 W</t>
  </si>
  <si>
    <t>101:08:07.34 W</t>
  </si>
  <si>
    <t>101:08:10.05 W</t>
  </si>
  <si>
    <t>101:08:11.59 W</t>
  </si>
  <si>
    <t>101:08:12.36 W</t>
  </si>
  <si>
    <t>101:08:14.22 W</t>
  </si>
  <si>
    <t>101:08:15.22 W</t>
  </si>
  <si>
    <t>101:08:18.78 W</t>
  </si>
  <si>
    <t>101:08:21.09 W</t>
  </si>
  <si>
    <t>031:57:42.57 N</t>
  </si>
  <si>
    <t>101:08:22.25 W</t>
  </si>
  <si>
    <t>031:57:42.65 N</t>
  </si>
  <si>
    <t>101:08:24.11 W</t>
  </si>
  <si>
    <t>101:08:26.73 W</t>
  </si>
  <si>
    <t>101:08:28.28 W</t>
  </si>
  <si>
    <t>101:08:30.13 W</t>
  </si>
  <si>
    <t>101:08:32.99 W</t>
  </si>
  <si>
    <t>101:08:33.76 W</t>
  </si>
  <si>
    <t>101:08:36.39 W</t>
  </si>
  <si>
    <t>101:08:39.09 W</t>
  </si>
  <si>
    <t>101:08:43.50 W</t>
  </si>
  <si>
    <t>101:08:46.43 W</t>
  </si>
  <si>
    <t>101:08:49.75 W</t>
  </si>
  <si>
    <t>031:57:43.11 N</t>
  </si>
  <si>
    <t>101:08:51.53 W</t>
  </si>
  <si>
    <t>031:57:43.42 N</t>
  </si>
  <si>
    <t>101:08:58.56 W</t>
  </si>
  <si>
    <t>031:57:43.57 N</t>
  </si>
  <si>
    <t>101:09:00.26 W</t>
  </si>
  <si>
    <t>031:57:44.11 N</t>
  </si>
  <si>
    <t>101:09:12.39 W</t>
  </si>
  <si>
    <t>031:57:44.27 N</t>
  </si>
  <si>
    <t>101:09:16.09 W</t>
  </si>
  <si>
    <t>101:09:28.14 W</t>
  </si>
  <si>
    <t>101:09:29.46 W</t>
  </si>
  <si>
    <t>101:09:30.85 W</t>
  </si>
  <si>
    <t>031:57:43.96 N</t>
  </si>
  <si>
    <t>101:09:36.33 W</t>
  </si>
  <si>
    <t>031:57:43.81 N</t>
  </si>
  <si>
    <t>101:09:39.81 W</t>
  </si>
  <si>
    <t>101:09:41.20 W</t>
  </si>
  <si>
    <t>031:57:43.65 N</t>
  </si>
  <si>
    <t>101:09:42.36 W</t>
  </si>
  <si>
    <t>031:57:38.32 N</t>
  </si>
  <si>
    <t>101:09:53.87 W</t>
  </si>
  <si>
    <t>031:57:38.17 N</t>
  </si>
  <si>
    <t>101:09:53.71 W</t>
  </si>
  <si>
    <t>031:57:38.09 N</t>
  </si>
  <si>
    <t>031:57:37.93 N</t>
  </si>
  <si>
    <t>101:09:53.48 W</t>
  </si>
  <si>
    <t>031:57:37.24 N</t>
  </si>
  <si>
    <t>101:08:56.01 W</t>
  </si>
  <si>
    <t>101:08:53.15 W</t>
  </si>
  <si>
    <t>031:57:37.70 N</t>
  </si>
  <si>
    <t>101:08:26.89 W</t>
  </si>
  <si>
    <t>031:57:37.86 N</t>
  </si>
  <si>
    <t>101:08:24.26 W</t>
  </si>
  <si>
    <t>101:08:21.63 W</t>
  </si>
  <si>
    <t>101:08:18.93 W</t>
  </si>
  <si>
    <t>031:57:38.94 N</t>
  </si>
  <si>
    <t>101:08:14.37 W</t>
  </si>
  <si>
    <t>031:57:39.09 N</t>
  </si>
  <si>
    <t>101:08:11.75 W</t>
  </si>
  <si>
    <t>031:57:39.25 N</t>
  </si>
  <si>
    <t>101:08:09.35 W</t>
  </si>
  <si>
    <t>031:57:39.33 N</t>
  </si>
  <si>
    <t>101:08:07.27 W</t>
  </si>
  <si>
    <t>031:57:39.40 N</t>
  </si>
  <si>
    <t>101:08:05.33 W</t>
  </si>
  <si>
    <t>101:08:03.33 W</t>
  </si>
  <si>
    <t>101:08:01.47 W</t>
  </si>
  <si>
    <t>101:07:58.77 W</t>
  </si>
  <si>
    <t>031:57:39.17 N</t>
  </si>
  <si>
    <t>101:07:56.84 W</t>
  </si>
  <si>
    <t>101:07:55.06 W</t>
  </si>
  <si>
    <t>031:57:38.63 N</t>
  </si>
  <si>
    <t>101:07:53.44 W</t>
  </si>
  <si>
    <t>101:07:50.19 W</t>
  </si>
  <si>
    <t>031:57:37.55 N</t>
  </si>
  <si>
    <t>101:07:48.57 W</t>
  </si>
  <si>
    <t>031:57:37.09 N</t>
  </si>
  <si>
    <t>101:07:46.18 W</t>
  </si>
  <si>
    <t>031:57:36.54 N</t>
  </si>
  <si>
    <t>101:07:44.32 W</t>
  </si>
  <si>
    <t>031:57:36.00 N</t>
  </si>
  <si>
    <t>101:07:42.78 W</t>
  </si>
  <si>
    <t>031:57:35.54 N</t>
  </si>
  <si>
    <t>031:57:35.00 N</t>
  </si>
  <si>
    <t>101:07:39.38 W</t>
  </si>
  <si>
    <t>031:57:34.54 N</t>
  </si>
  <si>
    <t>101:07:37.99 W</t>
  </si>
  <si>
    <t>031:57:33.92 N</t>
  </si>
  <si>
    <t>101:07:36.44 W</t>
  </si>
  <si>
    <t>031:57:33.38 N</t>
  </si>
  <si>
    <t>101:07:35.05 W</t>
  </si>
  <si>
    <t>031:57:32.76 N</t>
  </si>
  <si>
    <t>101:07:33.51 W</t>
  </si>
  <si>
    <t>031:57:32.06 N</t>
  </si>
  <si>
    <t>101:07:31.89 W</t>
  </si>
  <si>
    <t>031:57:31.37 N</t>
  </si>
  <si>
    <t>101:07:30.42 W</t>
  </si>
  <si>
    <t>031:57:30.67 N</t>
  </si>
  <si>
    <t>101:07:29.03 W</t>
  </si>
  <si>
    <t>031:57:30.06 N</t>
  </si>
  <si>
    <t>101:07:27.56 W</t>
  </si>
  <si>
    <t>031:57:29.36 N</t>
  </si>
  <si>
    <t>101:07:25.78 W</t>
  </si>
  <si>
    <t>031:57:28.59 N</t>
  </si>
  <si>
    <t>101:07:24.39 W</t>
  </si>
  <si>
    <t>031:57:28.05 N</t>
  </si>
  <si>
    <t>101:07:22.93 W</t>
  </si>
  <si>
    <t>031:57:27.27 N</t>
  </si>
  <si>
    <t>101:07:21.38 W</t>
  </si>
  <si>
    <t>031:57:26.19 N</t>
  </si>
  <si>
    <t>101:07:18.91 W</t>
  </si>
  <si>
    <t>101:07:15.90 W</t>
  </si>
  <si>
    <t>031:57:24.03 N</t>
  </si>
  <si>
    <t>101:07:14.27 W</t>
  </si>
  <si>
    <t>031:57:23.33 N</t>
  </si>
  <si>
    <t>101:07:12.65 W</t>
  </si>
  <si>
    <t>031:57:22.33 N</t>
  </si>
  <si>
    <t>101:07:10.33 W</t>
  </si>
  <si>
    <t>101:07:08.17 W</t>
  </si>
  <si>
    <t>031:57:20.48 N</t>
  </si>
  <si>
    <t>101:07:06.39 W</t>
  </si>
  <si>
    <t>031:57:19.70 N</t>
  </si>
  <si>
    <t>101:07:05.00 W</t>
  </si>
  <si>
    <t>031:57:19.24 N</t>
  </si>
  <si>
    <t>101:07:03.61 W</t>
  </si>
  <si>
    <t>031:57:18.39 N</t>
  </si>
  <si>
    <t>101:07:01.99 W</t>
  </si>
  <si>
    <t>031:57:17.70 N</t>
  </si>
  <si>
    <t>101:07:00.45 W</t>
  </si>
  <si>
    <t>031:57:15.61 N</t>
  </si>
  <si>
    <t>101:06:55.73 W</t>
  </si>
  <si>
    <t>031:57:14.99 N</t>
  </si>
  <si>
    <t>031:57:14.30 N</t>
  </si>
  <si>
    <t>101:06:52.57 W</t>
  </si>
  <si>
    <t>031:57:13.45 N</t>
  </si>
  <si>
    <t>101:06:51.10 W</t>
  </si>
  <si>
    <t>031:57:12.75 N</t>
  </si>
  <si>
    <t>101:06:49.17 W</t>
  </si>
  <si>
    <t>031:57:11.98 N</t>
  </si>
  <si>
    <t>101:06:47.62 W</t>
  </si>
  <si>
    <t>031:57:09.58 N</t>
  </si>
  <si>
    <t>101:06:41.98 W</t>
  </si>
  <si>
    <t>031:57:08.74 N</t>
  </si>
  <si>
    <t>101:06:39.74 W</t>
  </si>
  <si>
    <t>031:56:48.81 N</t>
  </si>
  <si>
    <t>101:05:51.54 W</t>
  </si>
  <si>
    <t>031:56:47.11 N</t>
  </si>
  <si>
    <t>101:05:47.29 W</t>
  </si>
  <si>
    <t>031:56:46.41 N</t>
  </si>
  <si>
    <t>101:05:45.67 W</t>
  </si>
  <si>
    <t>031:56:45.79 N</t>
  </si>
  <si>
    <t>101:05:44.28 W</t>
  </si>
  <si>
    <t>031:56:45.10 N</t>
  </si>
  <si>
    <t>101:05:43.04 W</t>
  </si>
  <si>
    <t>031:56:44.48 N</t>
  </si>
  <si>
    <t>101:05:41.65 W</t>
  </si>
  <si>
    <t>031:56:43.32 N</t>
  </si>
  <si>
    <t>101:05:39.57 W</t>
  </si>
  <si>
    <t>031:56:42.47 N</t>
  </si>
  <si>
    <t>101:05:38.02 W</t>
  </si>
  <si>
    <t>031:56:41.16 N</t>
  </si>
  <si>
    <t>101:05:35.24 W</t>
  </si>
  <si>
    <t>031:56:40.00 N</t>
  </si>
  <si>
    <t>101:05:32.85 W</t>
  </si>
  <si>
    <t>031:56:38.61 N</t>
  </si>
  <si>
    <t>101:05:30.14 W</t>
  </si>
  <si>
    <t>031:56:37.37 N</t>
  </si>
  <si>
    <t>101:05:28.06 W</t>
  </si>
  <si>
    <t>031:56:36.21 N</t>
  </si>
  <si>
    <t>101:05:25.90 W</t>
  </si>
  <si>
    <t>031:56:35.36 N</t>
  </si>
  <si>
    <t>101:05:24.35 W</t>
  </si>
  <si>
    <t>031:56:34.59 N</t>
  </si>
  <si>
    <t>101:05:22.65 W</t>
  </si>
  <si>
    <t>031:56:33.36 N</t>
  </si>
  <si>
    <t>101:05:20.49 W</t>
  </si>
  <si>
    <t>031:56:32.12 N</t>
  </si>
  <si>
    <t>101:05:18.02 W</t>
  </si>
  <si>
    <t>031:56:30.88 N</t>
  </si>
  <si>
    <t>101:05:15.62 W</t>
  </si>
  <si>
    <t>031:56:29.73 N</t>
  </si>
  <si>
    <t>101:05:13.38 W</t>
  </si>
  <si>
    <t>031:56:29.03 N</t>
  </si>
  <si>
    <t>101:05:11.99 W</t>
  </si>
  <si>
    <t>031:56:28.26 N</t>
  </si>
  <si>
    <t>101:05:10.52 W</t>
  </si>
  <si>
    <t>031:56:27.56 N</t>
  </si>
  <si>
    <t>101:05:08.75 W</t>
  </si>
  <si>
    <t>031:56:25.55 N</t>
  </si>
  <si>
    <t>101:05:04.73 W</t>
  </si>
  <si>
    <t>031:56:24.70 N</t>
  </si>
  <si>
    <t>101:05:02.95 W</t>
  </si>
  <si>
    <t>031:56:22.31 N</t>
  </si>
  <si>
    <t>101:04:58.24 W</t>
  </si>
  <si>
    <t>031:56:21.23 N</t>
  </si>
  <si>
    <t>101:04:55.85 W</t>
  </si>
  <si>
    <t>031:56:20.30 N</t>
  </si>
  <si>
    <t>101:04:54.46 W</t>
  </si>
  <si>
    <t>031:56:19.45 N</t>
  </si>
  <si>
    <t>101:04:52.60 W</t>
  </si>
  <si>
    <t>031:56:17.44 N</t>
  </si>
  <si>
    <t>101:04:48.97 W</t>
  </si>
  <si>
    <t>031:56:16.59 N</t>
  </si>
  <si>
    <t>101:04:47.35 W</t>
  </si>
  <si>
    <t>031:56:15.28 N</t>
  </si>
  <si>
    <t>101:04:44.95 W</t>
  </si>
  <si>
    <t>031:56:13.97 N</t>
  </si>
  <si>
    <t>101:04:42.33 W</t>
  </si>
  <si>
    <t>031:56:13.12 N</t>
  </si>
  <si>
    <t>101:04:40.86 W</t>
  </si>
  <si>
    <t>031:56:11.96 N</t>
  </si>
  <si>
    <t>101:04:38.47 W</t>
  </si>
  <si>
    <t>031:56:10.80 N</t>
  </si>
  <si>
    <t>101:04:36.46 W</t>
  </si>
  <si>
    <t>031:56:09.64 N</t>
  </si>
  <si>
    <t>101:04:34.29 W</t>
  </si>
  <si>
    <t>031:56:08.40 N</t>
  </si>
  <si>
    <t>101:04:32.05 W</t>
  </si>
  <si>
    <t>031:56:06.55 N</t>
  </si>
  <si>
    <t>101:04:28.35 W</t>
  </si>
  <si>
    <t>031:56:05.08 N</t>
  </si>
  <si>
    <t>101:04:25.80 W</t>
  </si>
  <si>
    <t>031:56:03.92 N</t>
  </si>
  <si>
    <t>101:04:23.40 W</t>
  </si>
  <si>
    <t>031:56:02.77 N</t>
  </si>
  <si>
    <t>101:04:21.47 W</t>
  </si>
  <si>
    <t>031:55:52.49 N</t>
  </si>
  <si>
    <t>101:04:00.38 W</t>
  </si>
  <si>
    <t>031:55:51.64 N</t>
  </si>
  <si>
    <t>101:03:57.76 W</t>
  </si>
  <si>
    <t>031:55:47.93 N</t>
  </si>
  <si>
    <t>101:03:46.63 W</t>
  </si>
  <si>
    <t>031:55:47.32 N</t>
  </si>
  <si>
    <t>101:03:45.01 W</t>
  </si>
  <si>
    <t>031:55:46.62 N</t>
  </si>
  <si>
    <t>101:03:43.39 W</t>
  </si>
  <si>
    <t>031:55:44.77 N</t>
  </si>
  <si>
    <t>101:03:38.52 W</t>
  </si>
  <si>
    <t>031:55:40.44 N</t>
  </si>
  <si>
    <t>101:03:27.86 W</t>
  </si>
  <si>
    <t>031:55:39.36 N</t>
  </si>
  <si>
    <t>101:03:25.31 W</t>
  </si>
  <si>
    <t>031:55:38.66 N</t>
  </si>
  <si>
    <t>101:03:23.69 W</t>
  </si>
  <si>
    <t>031:55:37.89 N</t>
  </si>
  <si>
    <t>101:03:21.99 W</t>
  </si>
  <si>
    <t>031:55:37.43 N</t>
  </si>
  <si>
    <t>101:03:20.37 W</t>
  </si>
  <si>
    <t>031:55:36.58 N</t>
  </si>
  <si>
    <t>101:03:17.97 W</t>
  </si>
  <si>
    <t>031:55:34.42 N</t>
  </si>
  <si>
    <t>101:03:09.94 W</t>
  </si>
  <si>
    <t>031:55:33.72 N</t>
  </si>
  <si>
    <t>101:03:07.47 W</t>
  </si>
  <si>
    <t>031:55:33.41 N</t>
  </si>
  <si>
    <t>101:03:05.85 W</t>
  </si>
  <si>
    <t>031:55:33.10 N</t>
  </si>
  <si>
    <t>101:03:04.15 W</t>
  </si>
  <si>
    <t>031:55:32.56 N</t>
  </si>
  <si>
    <t>101:03:01.98 W</t>
  </si>
  <si>
    <t>031:55:31.79 N</t>
  </si>
  <si>
    <t>101:02:57.58 W</t>
  </si>
  <si>
    <t>031:55:28.78 N</t>
  </si>
  <si>
    <t>101:02:43.60 W</t>
  </si>
  <si>
    <t>031:55:28.39 N</t>
  </si>
  <si>
    <t>101:02:41.82 W</t>
  </si>
  <si>
    <t>031:55:28.16 N</t>
  </si>
  <si>
    <t>101:02:40.20 W</t>
  </si>
  <si>
    <t>031:55:27.70 N</t>
  </si>
  <si>
    <t>101:02:38.42 W</t>
  </si>
  <si>
    <t>031:55:27.00 N</t>
  </si>
  <si>
    <t>101:02:34.10 W</t>
  </si>
  <si>
    <t>031:55:26.69 N</t>
  </si>
  <si>
    <t>101:02:31.08 W</t>
  </si>
  <si>
    <t>031:55:26.46 N</t>
  </si>
  <si>
    <t>101:02:28.54 W</t>
  </si>
  <si>
    <t>031:55:26.23 N</t>
  </si>
  <si>
    <t>101:02:26.29 W</t>
  </si>
  <si>
    <t>031:55:26.00 N</t>
  </si>
  <si>
    <t>101:02:23.90 W</t>
  </si>
  <si>
    <t>031:55:25.69 N</t>
  </si>
  <si>
    <t>101:02:20.66 W</t>
  </si>
  <si>
    <t>031:55:25.38 N</t>
  </si>
  <si>
    <t>101:02:17.26 W</t>
  </si>
  <si>
    <t>031:55:25.22 N</t>
  </si>
  <si>
    <t>101:02:14.63 W</t>
  </si>
  <si>
    <t>031:55:24.99 N</t>
  </si>
  <si>
    <t>101:02:12.16 W</t>
  </si>
  <si>
    <t>031:55:24.84 N</t>
  </si>
  <si>
    <t>101:02:09.76 W</t>
  </si>
  <si>
    <t>031:55:24.53 N</t>
  </si>
  <si>
    <t>101:02:07.21 W</t>
  </si>
  <si>
    <t>031:55:24.37 N</t>
  </si>
  <si>
    <t>101:02:04.97 W</t>
  </si>
  <si>
    <t>101:02:02.50 W</t>
  </si>
  <si>
    <t>031:55:24.22 N</t>
  </si>
  <si>
    <t>101:02:00.26 W</t>
  </si>
  <si>
    <t>031:55:23.99 N</t>
  </si>
  <si>
    <t>101:01:58.10 W</t>
  </si>
  <si>
    <t>101:01:56.48 W</t>
  </si>
  <si>
    <t>031:55:22.52 N</t>
  </si>
  <si>
    <t>101:01:31.60 W</t>
  </si>
  <si>
    <t>031:55:22.37 N</t>
  </si>
  <si>
    <t>101:01:28.98 W</t>
  </si>
  <si>
    <t>031:55:21.82 N</t>
  </si>
  <si>
    <t>101:01:23.34 W</t>
  </si>
  <si>
    <t>031:55:21.67 N</t>
  </si>
  <si>
    <t>101:01:20.56 W</t>
  </si>
  <si>
    <t>101:01:18.94 W</t>
  </si>
  <si>
    <t>031:55:21.36 N</t>
  </si>
  <si>
    <t>101:01:15.54 W</t>
  </si>
  <si>
    <t>101:01:12.68 W</t>
  </si>
  <si>
    <t>031:55:21.13 N</t>
  </si>
  <si>
    <t>101:01:09.82 W</t>
  </si>
  <si>
    <t>031:55:20.97 N</t>
  </si>
  <si>
    <t>101:01:07.04 W</t>
  </si>
  <si>
    <t>031:55:20.90 N</t>
  </si>
  <si>
    <t>101:01:04.10 W</t>
  </si>
  <si>
    <t>031:55:20.74 N</t>
  </si>
  <si>
    <t>101:01:01.09 W</t>
  </si>
  <si>
    <t>031:55:20.67 N</t>
  </si>
  <si>
    <t>101:00:58.31 W</t>
  </si>
  <si>
    <t>031:55:20.51 N</t>
  </si>
  <si>
    <t>101:00:55.68 W</t>
  </si>
  <si>
    <t>031:55:20.20 N</t>
  </si>
  <si>
    <t>101:00:51.82 W</t>
  </si>
  <si>
    <t>101:00:50.04 W</t>
  </si>
  <si>
    <t>031:55:20.13 N</t>
  </si>
  <si>
    <t>101:00:48.04 W</t>
  </si>
  <si>
    <t>031:55:20.05 N</t>
  </si>
  <si>
    <t>101:00:46.10 W</t>
  </si>
  <si>
    <t>101:00:44.10 W</t>
  </si>
  <si>
    <t>101:00:42.63 W</t>
  </si>
  <si>
    <t>031:55:19.97 N</t>
  </si>
  <si>
    <t>101:00:40.77 W</t>
  </si>
  <si>
    <t>101:00:39.00 W</t>
  </si>
  <si>
    <t>101:00:35.37 W</t>
  </si>
  <si>
    <t>101:00:32.66 W</t>
  </si>
  <si>
    <t>101:00:31.04 W</t>
  </si>
  <si>
    <t>101:00:27.87 W</t>
  </si>
  <si>
    <t>031:55:20.43 N</t>
  </si>
  <si>
    <t>101:00:25.56 W</t>
  </si>
  <si>
    <t>101:00:22.93 W</t>
  </si>
  <si>
    <t>031:55:20.59 N</t>
  </si>
  <si>
    <t>101:00:20.38 W</t>
  </si>
  <si>
    <t>101:00:17.45 W</t>
  </si>
  <si>
    <t>031:55:21.05 N</t>
  </si>
  <si>
    <t>101:00:14.67 W</t>
  </si>
  <si>
    <t>031:55:21.21 N</t>
  </si>
  <si>
    <t>101:00:11.88 W</t>
  </si>
  <si>
    <t>031:55:21.52 N</t>
  </si>
  <si>
    <t>101:00:09.72 W</t>
  </si>
  <si>
    <t>031:55:21.75 N</t>
  </si>
  <si>
    <t>101:00:06.71 W</t>
  </si>
  <si>
    <t>031:55:21.90 N</t>
  </si>
  <si>
    <t>101:00:04.00 W</t>
  </si>
  <si>
    <t>031:55:22.13 N</t>
  </si>
  <si>
    <t>101:00:01.46 W</t>
  </si>
  <si>
    <t>031:55:22.21 N</t>
  </si>
  <si>
    <t>101:00:00.45 W</t>
  </si>
  <si>
    <t>100:59:58.21 W</t>
  </si>
  <si>
    <t>100:59:55.51 W</t>
  </si>
  <si>
    <t>031:55:22.83 N</t>
  </si>
  <si>
    <t>100:59:51.57 W</t>
  </si>
  <si>
    <t>031:55:22.91 N</t>
  </si>
  <si>
    <t>100:59:49.33 W</t>
  </si>
  <si>
    <t>031:55:23.06 N</t>
  </si>
  <si>
    <t>100:59:46.39 W</t>
  </si>
  <si>
    <t>031:55:23.21 N</t>
  </si>
  <si>
    <t>100:59:42.45 W</t>
  </si>
  <si>
    <t>031:55:23.14 N</t>
  </si>
  <si>
    <t>100:59:39.67 W</t>
  </si>
  <si>
    <t>100:59:38.82 W</t>
  </si>
  <si>
    <t>100:59:36.66 W</t>
  </si>
  <si>
    <t>100:59:35.81 W</t>
  </si>
  <si>
    <t>100:59:33.72 W</t>
  </si>
  <si>
    <t>100:59:31.33 W</t>
  </si>
  <si>
    <t>100:59:28.78 W</t>
  </si>
  <si>
    <t>100:59:26.93 W</t>
  </si>
  <si>
    <t>031:55:22.67 N</t>
  </si>
  <si>
    <t>100:58:54.95 W</t>
  </si>
  <si>
    <t>100:58:53.01 W</t>
  </si>
  <si>
    <t>100:58:50.23 W</t>
  </si>
  <si>
    <t>100:58:47.61 W</t>
  </si>
  <si>
    <t>100:58:45.68 W</t>
  </si>
  <si>
    <t>100:58:41.35 W</t>
  </si>
  <si>
    <t>100:58:39.34 W</t>
  </si>
  <si>
    <t>100:58:36.48 W</t>
  </si>
  <si>
    <t>100:58:32.62 W</t>
  </si>
  <si>
    <t>100:58:30.46 W</t>
  </si>
  <si>
    <t>100:58:27.60 W</t>
  </si>
  <si>
    <t>100:58:25.75 W</t>
  </si>
  <si>
    <t>100:58:23.58 W</t>
  </si>
  <si>
    <t>100:58:22.12 W</t>
  </si>
  <si>
    <t>100:58:20.18 W</t>
  </si>
  <si>
    <t>100:58:17.56 W</t>
  </si>
  <si>
    <t>100:58:14.31 W</t>
  </si>
  <si>
    <t>100:58:11.84 W</t>
  </si>
  <si>
    <t>100:58:10.30 W</t>
  </si>
  <si>
    <t>031:55:21.98 N</t>
  </si>
  <si>
    <t>100:58:07.59 W</t>
  </si>
  <si>
    <t>100:58:05.20 W</t>
  </si>
  <si>
    <t>100:58:03.73 W</t>
  </si>
  <si>
    <t>031:55:19.28 N</t>
  </si>
  <si>
    <t>100:58:02.34 W</t>
  </si>
  <si>
    <t>031:55:17.96 N</t>
  </si>
  <si>
    <t>100:58:01.80 W</t>
  </si>
  <si>
    <t>031:55:16.80 N</t>
  </si>
  <si>
    <t>100:58:01.34 W</t>
  </si>
  <si>
    <t>031:55:15.95 N</t>
  </si>
  <si>
    <t>031:55:13.25 N</t>
  </si>
  <si>
    <t>100:58:02.57 W</t>
  </si>
  <si>
    <t>031:55:12.63 N</t>
  </si>
  <si>
    <t>100:58:03.19 W</t>
  </si>
  <si>
    <t>031:55:11.94 N</t>
  </si>
  <si>
    <t>100:58:03.81 W</t>
  </si>
  <si>
    <t>031:55:11.47 N</t>
  </si>
  <si>
    <t>100:58:04.58 W</t>
  </si>
  <si>
    <t>031:55:10.47 N</t>
  </si>
  <si>
    <t>100:58:05.97 W</t>
  </si>
  <si>
    <t>031:55:09.39 N</t>
  </si>
  <si>
    <t>100:58:09.45 W</t>
  </si>
  <si>
    <t>031:55:09.23 N</t>
  </si>
  <si>
    <t>100:58:10.68 W</t>
  </si>
  <si>
    <t>100:58:11.69 W</t>
  </si>
  <si>
    <t>031:55:09.46 N</t>
  </si>
  <si>
    <t>100:58:12.69 W</t>
  </si>
  <si>
    <t>031:55:09.77 N</t>
  </si>
  <si>
    <t>031:55:10.08 N</t>
  </si>
  <si>
    <t>100:58:15.09 W</t>
  </si>
  <si>
    <t>031:55:11.09 N</t>
  </si>
  <si>
    <t>100:58:16.94 W</t>
  </si>
  <si>
    <t>031:55:12.09 N</t>
  </si>
  <si>
    <t>100:58:17.71 W</t>
  </si>
  <si>
    <t>031:55:13.02 N</t>
  </si>
  <si>
    <t>100:58:18.18 W</t>
  </si>
  <si>
    <t>031:55:13.95 N</t>
  </si>
  <si>
    <t>100:58:18.33 W</t>
  </si>
  <si>
    <t>031:55:14.79 N</t>
  </si>
  <si>
    <t>031:55:15.80 N</t>
  </si>
  <si>
    <t>100:58:17.94 W</t>
  </si>
  <si>
    <t>031:55:16.57 N</t>
  </si>
  <si>
    <t>031:55:17.34 N</t>
  </si>
  <si>
    <t>100:58:17.09 W</t>
  </si>
  <si>
    <t>031:55:17.81 N</t>
  </si>
  <si>
    <t>100:58:16.71 W</t>
  </si>
  <si>
    <t>031:55:18.50 N</t>
  </si>
  <si>
    <t>100:58:15.86 W</t>
  </si>
  <si>
    <t>031:55:18.89 N</t>
  </si>
  <si>
    <t>100:58:15.24 W</t>
  </si>
  <si>
    <t>031:55:19.12 N</t>
  </si>
  <si>
    <t>100:58:14.85 W</t>
  </si>
  <si>
    <t>031:55:19.43 N</t>
  </si>
  <si>
    <t>100:58:14.39 W</t>
  </si>
  <si>
    <t>031:55:19.66 N</t>
  </si>
  <si>
    <t>100:58:14.08 W</t>
  </si>
  <si>
    <t>031:55:19.82 N</t>
  </si>
  <si>
    <t>100:58:13.70 W</t>
  </si>
  <si>
    <t>031:55:19.89 N</t>
  </si>
  <si>
    <t>100:58:13.62 W</t>
  </si>
  <si>
    <t>100:58:12.61 W</t>
  </si>
  <si>
    <t>100:58:12.23 W</t>
  </si>
  <si>
    <t>100:58:09.29 W</t>
  </si>
  <si>
    <t>031:55:23.37 N</t>
  </si>
  <si>
    <t>100:58:09.21 W</t>
  </si>
  <si>
    <t>031:55:23.52 N</t>
  </si>
  <si>
    <t>031:55:23.68 N</t>
  </si>
  <si>
    <t>031:55:23.83 N</t>
  </si>
  <si>
    <t>031:55:24.14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</si>
</sst>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1319"/>
  <sheetViews>
    <sheetView tabSelected="1" topLeftCell="A1293" workbookViewId="0"/>
  </sheetViews>
  <sheetFormatPr defaultRowHeight="15" x14ac:dyDescent="0.25"/>
  <cols>
    <col min="2" max="2" width="26.5703125" customWidth="1"/>
  </cols>
  <sheetData>
    <row r="1" spans="1:1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25">
      <c r="A2" t="str">
        <f>"11/29/2023 20:15:24.022"</f>
        <v>11/29/2023 20:15:24.022</v>
      </c>
      <c r="C2" t="str">
        <f t="shared" ref="C2:C33" si="0">"FFDF53C0"</f>
        <v>FFDF53C0</v>
      </c>
      <c r="D2" t="s">
        <v>123</v>
      </c>
      <c r="E2">
        <v>14</v>
      </c>
      <c r="F2">
        <v>1014</v>
      </c>
      <c r="G2" t="s">
        <v>124</v>
      </c>
      <c r="J2" t="s">
        <v>125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"20:15:23.578"</f>
        <v>20:15:23.578</v>
      </c>
      <c r="T2" t="str">
        <f>"20:15:23.378"</f>
        <v>20:15:23.378</v>
      </c>
      <c r="U2" t="str">
        <f t="shared" ref="U2:U65" si="1">"AA0632"</f>
        <v>AA0632</v>
      </c>
      <c r="V2">
        <v>0</v>
      </c>
      <c r="W2">
        <v>0</v>
      </c>
      <c r="X2">
        <v>2</v>
      </c>
      <c r="Y2">
        <v>0</v>
      </c>
      <c r="AA2">
        <v>0</v>
      </c>
      <c r="AB2">
        <v>8</v>
      </c>
      <c r="AC2">
        <v>3</v>
      </c>
      <c r="AD2">
        <v>0</v>
      </c>
      <c r="AE2">
        <v>9</v>
      </c>
      <c r="AF2" t="s">
        <v>126</v>
      </c>
      <c r="AG2">
        <v>0</v>
      </c>
      <c r="AH2">
        <v>0</v>
      </c>
      <c r="AI2">
        <v>2</v>
      </c>
      <c r="AJ2">
        <v>0</v>
      </c>
      <c r="AK2" t="s">
        <v>127</v>
      </c>
      <c r="AL2">
        <v>31.948284999999998</v>
      </c>
      <c r="AM2" t="s">
        <v>128</v>
      </c>
      <c r="AN2">
        <v>-101.111104</v>
      </c>
      <c r="AQ2" t="s">
        <v>129</v>
      </c>
      <c r="AR2">
        <v>-61</v>
      </c>
      <c r="AS2">
        <v>58</v>
      </c>
      <c r="AT2">
        <v>448</v>
      </c>
      <c r="BB2" t="str">
        <f t="shared" ref="BB2:BB65" si="2">"1200"</f>
        <v>1200</v>
      </c>
      <c r="BC2">
        <v>1</v>
      </c>
      <c r="BD2" t="str">
        <f t="shared" ref="BD2:BD33" si="3">"N745MB  "</f>
        <v xml:space="preserve">N745MB  </v>
      </c>
      <c r="BE2">
        <v>1</v>
      </c>
      <c r="BG2">
        <v>0</v>
      </c>
      <c r="BH2">
        <v>0</v>
      </c>
      <c r="BI2">
        <v>0</v>
      </c>
      <c r="BL2" t="s">
        <v>130</v>
      </c>
      <c r="BM2">
        <v>1</v>
      </c>
      <c r="BN2">
        <v>0</v>
      </c>
      <c r="BO2">
        <v>0</v>
      </c>
      <c r="BP2">
        <v>0</v>
      </c>
      <c r="BT2">
        <v>0</v>
      </c>
      <c r="BU2">
        <v>0</v>
      </c>
      <c r="CE2" t="str">
        <f>"20:15:23.584"</f>
        <v>20:15:23.584</v>
      </c>
      <c r="CF2">
        <v>583588093</v>
      </c>
      <c r="CS2">
        <v>0</v>
      </c>
      <c r="CT2">
        <v>2</v>
      </c>
      <c r="CU2">
        <v>0</v>
      </c>
      <c r="CV2">
        <v>2</v>
      </c>
      <c r="CW2">
        <v>0</v>
      </c>
      <c r="CX2">
        <v>1</v>
      </c>
      <c r="CY2">
        <v>7</v>
      </c>
      <c r="CZ2" t="s">
        <v>131</v>
      </c>
      <c r="DA2">
        <v>116</v>
      </c>
      <c r="DB2">
        <v>3</v>
      </c>
      <c r="DC2" t="s">
        <v>132</v>
      </c>
      <c r="DD2" t="s">
        <v>133</v>
      </c>
      <c r="DG2">
        <v>8062325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1</v>
      </c>
      <c r="DQ2">
        <v>0</v>
      </c>
      <c r="DR2">
        <v>0</v>
      </c>
      <c r="DS2">
        <v>0</v>
      </c>
    </row>
    <row r="3" spans="1:123" x14ac:dyDescent="0.25">
      <c r="A3" t="str">
        <f>"11/29/2023 20:15:24.147"</f>
        <v>11/29/2023 20:15:24.147</v>
      </c>
      <c r="C3" t="str">
        <f t="shared" si="0"/>
        <v>FFDF53C0</v>
      </c>
      <c r="D3" t="s">
        <v>123</v>
      </c>
      <c r="E3">
        <v>1</v>
      </c>
      <c r="F3">
        <v>1001</v>
      </c>
      <c r="G3" t="s">
        <v>134</v>
      </c>
      <c r="J3" t="s">
        <v>125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"20:15:23.578"</f>
        <v>20:15:23.578</v>
      </c>
      <c r="T3" t="str">
        <f>"20:15:23.378"</f>
        <v>20:15:23.378</v>
      </c>
      <c r="U3" t="str">
        <f t="shared" si="1"/>
        <v>AA0632</v>
      </c>
      <c r="V3">
        <v>0</v>
      </c>
      <c r="W3">
        <v>0</v>
      </c>
      <c r="X3">
        <v>2</v>
      </c>
      <c r="Y3">
        <v>0</v>
      </c>
      <c r="AA3">
        <v>0</v>
      </c>
      <c r="AB3">
        <v>8</v>
      </c>
      <c r="AC3">
        <v>3</v>
      </c>
      <c r="AD3">
        <v>0</v>
      </c>
      <c r="AE3">
        <v>9</v>
      </c>
      <c r="AF3" t="s">
        <v>126</v>
      </c>
      <c r="AG3">
        <v>0</v>
      </c>
      <c r="AH3">
        <v>0</v>
      </c>
      <c r="AI3">
        <v>2</v>
      </c>
      <c r="AJ3">
        <v>0</v>
      </c>
      <c r="AK3" t="s">
        <v>127</v>
      </c>
      <c r="AL3">
        <v>31.948284999999998</v>
      </c>
      <c r="AM3" t="s">
        <v>128</v>
      </c>
      <c r="AN3">
        <v>-101.111104</v>
      </c>
      <c r="AQ3" t="s">
        <v>129</v>
      </c>
      <c r="AR3">
        <v>-61</v>
      </c>
      <c r="AS3">
        <v>58</v>
      </c>
      <c r="AT3">
        <v>448</v>
      </c>
      <c r="BB3" t="str">
        <f t="shared" si="2"/>
        <v>1200</v>
      </c>
      <c r="BC3">
        <v>1</v>
      </c>
      <c r="BD3" t="str">
        <f t="shared" si="3"/>
        <v xml:space="preserve">N745MB  </v>
      </c>
      <c r="BE3">
        <v>1</v>
      </c>
      <c r="BG3">
        <v>0</v>
      </c>
      <c r="BH3">
        <v>0</v>
      </c>
      <c r="BI3">
        <v>0</v>
      </c>
      <c r="BL3" t="s">
        <v>130</v>
      </c>
      <c r="BM3">
        <v>1</v>
      </c>
      <c r="BN3">
        <v>0</v>
      </c>
      <c r="BO3">
        <v>0</v>
      </c>
      <c r="BP3">
        <v>0</v>
      </c>
      <c r="BT3">
        <v>0</v>
      </c>
      <c r="BU3">
        <v>0</v>
      </c>
      <c r="CE3" t="str">
        <f>"20:15:23.584"</f>
        <v>20:15:23.584</v>
      </c>
      <c r="CF3">
        <v>583588093</v>
      </c>
      <c r="CS3">
        <v>0</v>
      </c>
      <c r="CT3">
        <v>2</v>
      </c>
      <c r="CU3">
        <v>0</v>
      </c>
      <c r="CV3">
        <v>2</v>
      </c>
      <c r="CW3">
        <v>0</v>
      </c>
      <c r="CX3">
        <v>1</v>
      </c>
      <c r="CY3">
        <v>7</v>
      </c>
      <c r="CZ3" t="s">
        <v>131</v>
      </c>
      <c r="DA3">
        <v>116</v>
      </c>
      <c r="DB3">
        <v>3</v>
      </c>
      <c r="DC3" t="s">
        <v>132</v>
      </c>
      <c r="DD3" t="s">
        <v>133</v>
      </c>
      <c r="DG3">
        <v>8062325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1</v>
      </c>
      <c r="DQ3">
        <v>0</v>
      </c>
      <c r="DR3">
        <v>0</v>
      </c>
      <c r="DS3">
        <v>0</v>
      </c>
    </row>
    <row r="4" spans="1:123" x14ac:dyDescent="0.25">
      <c r="A4" t="str">
        <f>"11/29/2023 20:15:24.147"</f>
        <v>11/29/2023 20:15:24.147</v>
      </c>
      <c r="C4" t="str">
        <f t="shared" si="0"/>
        <v>FFDF53C0</v>
      </c>
      <c r="D4" t="s">
        <v>135</v>
      </c>
      <c r="E4">
        <v>31</v>
      </c>
      <c r="H4">
        <v>285</v>
      </c>
      <c r="I4" t="s">
        <v>136</v>
      </c>
      <c r="J4" t="s">
        <v>137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"20:15:23.578"</f>
        <v>20:15:23.578</v>
      </c>
      <c r="T4" t="str">
        <f>"20:15:23.378"</f>
        <v>20:15:23.378</v>
      </c>
      <c r="U4" t="str">
        <f t="shared" si="1"/>
        <v>AA0632</v>
      </c>
      <c r="V4">
        <v>0</v>
      </c>
      <c r="W4">
        <v>0</v>
      </c>
      <c r="X4">
        <v>2</v>
      </c>
      <c r="Y4">
        <v>0</v>
      </c>
      <c r="AA4">
        <v>0</v>
      </c>
      <c r="AB4">
        <v>8</v>
      </c>
      <c r="AC4">
        <v>3</v>
      </c>
      <c r="AD4">
        <v>0</v>
      </c>
      <c r="AE4">
        <v>9</v>
      </c>
      <c r="AF4" t="s">
        <v>126</v>
      </c>
      <c r="AG4">
        <v>0</v>
      </c>
      <c r="AH4">
        <v>0</v>
      </c>
      <c r="AI4">
        <v>2</v>
      </c>
      <c r="AJ4">
        <v>0</v>
      </c>
      <c r="AK4" t="s">
        <v>127</v>
      </c>
      <c r="AL4">
        <v>31.948284999999998</v>
      </c>
      <c r="AM4" t="s">
        <v>128</v>
      </c>
      <c r="AN4">
        <v>-101.111104</v>
      </c>
      <c r="AQ4" t="s">
        <v>129</v>
      </c>
      <c r="AR4">
        <v>-61</v>
      </c>
      <c r="AS4">
        <v>58</v>
      </c>
      <c r="AT4">
        <v>448</v>
      </c>
      <c r="BB4" t="str">
        <f t="shared" si="2"/>
        <v>1200</v>
      </c>
      <c r="BC4">
        <v>1</v>
      </c>
      <c r="BD4" t="str">
        <f t="shared" si="3"/>
        <v xml:space="preserve">N745MB  </v>
      </c>
      <c r="BE4">
        <v>1</v>
      </c>
      <c r="BG4">
        <v>0</v>
      </c>
      <c r="BH4">
        <v>0</v>
      </c>
      <c r="BI4">
        <v>0</v>
      </c>
      <c r="BL4" t="s">
        <v>130</v>
      </c>
      <c r="BM4">
        <v>1</v>
      </c>
      <c r="BN4">
        <v>0</v>
      </c>
      <c r="BO4">
        <v>0</v>
      </c>
      <c r="BP4">
        <v>0</v>
      </c>
      <c r="BT4">
        <v>0</v>
      </c>
      <c r="BU4">
        <v>0</v>
      </c>
      <c r="CE4" t="str">
        <f>"20:15:23.584"</f>
        <v>20:15:23.584</v>
      </c>
      <c r="CF4">
        <v>583588093</v>
      </c>
      <c r="CS4">
        <v>0</v>
      </c>
      <c r="CT4">
        <v>2</v>
      </c>
      <c r="CU4">
        <v>0</v>
      </c>
      <c r="CV4">
        <v>2</v>
      </c>
      <c r="CW4">
        <v>0</v>
      </c>
      <c r="CX4">
        <v>1</v>
      </c>
      <c r="CY4">
        <v>7</v>
      </c>
      <c r="CZ4" t="s">
        <v>131</v>
      </c>
      <c r="DA4">
        <v>116</v>
      </c>
      <c r="DB4">
        <v>3</v>
      </c>
      <c r="DC4" t="s">
        <v>132</v>
      </c>
      <c r="DD4" t="s">
        <v>133</v>
      </c>
      <c r="DG4">
        <v>8062325</v>
      </c>
      <c r="DI4">
        <v>0</v>
      </c>
      <c r="DJ4">
        <v>0</v>
      </c>
      <c r="DK4">
        <v>1</v>
      </c>
      <c r="DL4">
        <v>0</v>
      </c>
      <c r="DM4">
        <v>0</v>
      </c>
      <c r="DN4">
        <v>0</v>
      </c>
      <c r="DO4">
        <v>0</v>
      </c>
      <c r="DP4">
        <v>1</v>
      </c>
      <c r="DQ4">
        <v>0</v>
      </c>
      <c r="DR4">
        <v>0</v>
      </c>
      <c r="DS4">
        <v>0</v>
      </c>
    </row>
    <row r="5" spans="1:123" x14ac:dyDescent="0.25">
      <c r="A5" t="str">
        <f>"11/29/2023 20:15:24.147"</f>
        <v>11/29/2023 20:15:24.147</v>
      </c>
      <c r="C5" t="str">
        <f t="shared" si="0"/>
        <v>FFDF53C0</v>
      </c>
      <c r="D5" t="s">
        <v>138</v>
      </c>
      <c r="E5">
        <v>3</v>
      </c>
      <c r="H5">
        <v>160</v>
      </c>
      <c r="I5" t="s">
        <v>124</v>
      </c>
      <c r="J5" t="s">
        <v>139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"20:15:23.578"</f>
        <v>20:15:23.578</v>
      </c>
      <c r="T5" t="str">
        <f>"20:15:23.378"</f>
        <v>20:15:23.378</v>
      </c>
      <c r="U5" t="str">
        <f t="shared" si="1"/>
        <v>AA0632</v>
      </c>
      <c r="V5">
        <v>0</v>
      </c>
      <c r="W5">
        <v>0</v>
      </c>
      <c r="X5">
        <v>2</v>
      </c>
      <c r="Y5">
        <v>0</v>
      </c>
      <c r="AA5">
        <v>0</v>
      </c>
      <c r="AB5">
        <v>8</v>
      </c>
      <c r="AC5">
        <v>3</v>
      </c>
      <c r="AD5">
        <v>0</v>
      </c>
      <c r="AE5">
        <v>9</v>
      </c>
      <c r="AF5" t="s">
        <v>126</v>
      </c>
      <c r="AG5">
        <v>0</v>
      </c>
      <c r="AH5">
        <v>0</v>
      </c>
      <c r="AI5">
        <v>2</v>
      </c>
      <c r="AJ5">
        <v>0</v>
      </c>
      <c r="AK5" t="s">
        <v>127</v>
      </c>
      <c r="AL5">
        <v>31.948284999999998</v>
      </c>
      <c r="AM5" t="s">
        <v>128</v>
      </c>
      <c r="AN5">
        <v>-101.111104</v>
      </c>
      <c r="AQ5" t="s">
        <v>129</v>
      </c>
      <c r="AR5">
        <v>-61</v>
      </c>
      <c r="AS5">
        <v>58</v>
      </c>
      <c r="AT5">
        <v>448</v>
      </c>
      <c r="BB5" t="str">
        <f t="shared" si="2"/>
        <v>1200</v>
      </c>
      <c r="BC5">
        <v>1</v>
      </c>
      <c r="BD5" t="str">
        <f t="shared" si="3"/>
        <v xml:space="preserve">N745MB  </v>
      </c>
      <c r="BE5">
        <v>1</v>
      </c>
      <c r="BG5">
        <v>0</v>
      </c>
      <c r="BH5">
        <v>0</v>
      </c>
      <c r="BI5">
        <v>0</v>
      </c>
      <c r="BL5" t="s">
        <v>130</v>
      </c>
      <c r="BM5">
        <v>1</v>
      </c>
      <c r="BN5">
        <v>0</v>
      </c>
      <c r="BO5">
        <v>0</v>
      </c>
      <c r="BP5">
        <v>0</v>
      </c>
      <c r="BT5">
        <v>0</v>
      </c>
      <c r="BU5">
        <v>0</v>
      </c>
      <c r="CE5" t="str">
        <f>"20:15:23.584"</f>
        <v>20:15:23.584</v>
      </c>
      <c r="CF5">
        <v>583588093</v>
      </c>
      <c r="CS5">
        <v>0</v>
      </c>
      <c r="CT5">
        <v>2</v>
      </c>
      <c r="CU5">
        <v>0</v>
      </c>
      <c r="CV5">
        <v>2</v>
      </c>
      <c r="CW5">
        <v>0</v>
      </c>
      <c r="CX5">
        <v>1</v>
      </c>
      <c r="CY5">
        <v>7</v>
      </c>
      <c r="CZ5" t="s">
        <v>131</v>
      </c>
      <c r="DA5">
        <v>116</v>
      </c>
      <c r="DB5">
        <v>3</v>
      </c>
      <c r="DC5" t="s">
        <v>132</v>
      </c>
      <c r="DD5" t="s">
        <v>133</v>
      </c>
      <c r="DG5">
        <v>8062325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1</v>
      </c>
      <c r="DQ5">
        <v>0</v>
      </c>
      <c r="DR5">
        <v>0</v>
      </c>
      <c r="DS5">
        <v>0</v>
      </c>
    </row>
    <row r="6" spans="1:123" x14ac:dyDescent="0.25">
      <c r="A6" t="str">
        <f>"11/29/2023 20:15:25.163"</f>
        <v>11/29/2023 20:15:25.163</v>
      </c>
      <c r="C6" t="str">
        <f t="shared" si="0"/>
        <v>FFDF53C0</v>
      </c>
      <c r="D6" t="s">
        <v>123</v>
      </c>
      <c r="E6">
        <v>14</v>
      </c>
      <c r="F6">
        <v>1014</v>
      </c>
      <c r="G6" t="s">
        <v>124</v>
      </c>
      <c r="J6" t="s">
        <v>125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"20:15:24.648"</f>
        <v>20:15:24.648</v>
      </c>
      <c r="T6" t="str">
        <f>"20:15:23.348"</f>
        <v>20:15:23.348</v>
      </c>
      <c r="U6" t="str">
        <f t="shared" si="1"/>
        <v>AA0632</v>
      </c>
      <c r="V6">
        <v>0</v>
      </c>
      <c r="W6">
        <v>0</v>
      </c>
      <c r="X6">
        <v>2</v>
      </c>
      <c r="Y6">
        <v>0</v>
      </c>
      <c r="AA6">
        <v>0</v>
      </c>
      <c r="AB6">
        <v>8</v>
      </c>
      <c r="AC6">
        <v>3</v>
      </c>
      <c r="AD6">
        <v>0</v>
      </c>
      <c r="AE6">
        <v>9</v>
      </c>
      <c r="AF6" t="s">
        <v>126</v>
      </c>
      <c r="AG6">
        <v>0</v>
      </c>
      <c r="AH6">
        <v>0</v>
      </c>
      <c r="AI6">
        <v>2</v>
      </c>
      <c r="AJ6">
        <v>0</v>
      </c>
      <c r="AK6" t="s">
        <v>140</v>
      </c>
      <c r="AL6">
        <v>31.948564000000001</v>
      </c>
      <c r="AM6" t="s">
        <v>141</v>
      </c>
      <c r="AN6">
        <v>-101.111469</v>
      </c>
      <c r="AQ6" t="s">
        <v>129</v>
      </c>
      <c r="AR6">
        <v>-61</v>
      </c>
      <c r="AS6">
        <v>58</v>
      </c>
      <c r="AT6">
        <v>448</v>
      </c>
      <c r="BB6" t="str">
        <f t="shared" si="2"/>
        <v>1200</v>
      </c>
      <c r="BC6">
        <v>1</v>
      </c>
      <c r="BD6" t="str">
        <f t="shared" si="3"/>
        <v xml:space="preserve">N745MB  </v>
      </c>
      <c r="BE6">
        <v>1</v>
      </c>
      <c r="BG6">
        <v>0</v>
      </c>
      <c r="BH6">
        <v>0</v>
      </c>
      <c r="BI6">
        <v>0</v>
      </c>
      <c r="BL6" t="s">
        <v>130</v>
      </c>
      <c r="BM6">
        <v>1</v>
      </c>
      <c r="BN6">
        <v>0</v>
      </c>
      <c r="BO6">
        <v>0</v>
      </c>
      <c r="BP6">
        <v>0</v>
      </c>
      <c r="BT6">
        <v>0</v>
      </c>
      <c r="BU6">
        <v>0</v>
      </c>
      <c r="CE6" t="str">
        <f>"20:15:24.656"</f>
        <v>20:15:24.656</v>
      </c>
      <c r="CF6">
        <v>655511476</v>
      </c>
      <c r="CS6">
        <v>0</v>
      </c>
      <c r="CT6">
        <v>2</v>
      </c>
      <c r="CU6">
        <v>0</v>
      </c>
      <c r="CV6">
        <v>2</v>
      </c>
      <c r="CW6">
        <v>0</v>
      </c>
      <c r="CX6">
        <v>1</v>
      </c>
      <c r="CY6">
        <v>7</v>
      </c>
      <c r="CZ6" t="s">
        <v>131</v>
      </c>
      <c r="DA6">
        <v>116</v>
      </c>
      <c r="DB6">
        <v>3</v>
      </c>
      <c r="DC6" t="s">
        <v>132</v>
      </c>
      <c r="DD6" t="s">
        <v>133</v>
      </c>
      <c r="DG6">
        <v>8062934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1</v>
      </c>
      <c r="DQ6">
        <v>0</v>
      </c>
      <c r="DR6">
        <v>0</v>
      </c>
      <c r="DS6">
        <v>0</v>
      </c>
    </row>
    <row r="7" spans="1:123" x14ac:dyDescent="0.25">
      <c r="A7" t="str">
        <f>"11/29/2023 20:15:25.163"</f>
        <v>11/29/2023 20:15:25.163</v>
      </c>
      <c r="C7" t="str">
        <f t="shared" si="0"/>
        <v>FFDF53C0</v>
      </c>
      <c r="D7" t="s">
        <v>138</v>
      </c>
      <c r="E7">
        <v>3</v>
      </c>
      <c r="H7">
        <v>160</v>
      </c>
      <c r="I7" t="s">
        <v>124</v>
      </c>
      <c r="J7" t="s">
        <v>139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"20:15:24.648"</f>
        <v>20:15:24.648</v>
      </c>
      <c r="T7" t="str">
        <f>"20:15:23.348"</f>
        <v>20:15:23.348</v>
      </c>
      <c r="U7" t="str">
        <f t="shared" si="1"/>
        <v>AA0632</v>
      </c>
      <c r="V7">
        <v>0</v>
      </c>
      <c r="W7">
        <v>0</v>
      </c>
      <c r="X7">
        <v>2</v>
      </c>
      <c r="Y7">
        <v>0</v>
      </c>
      <c r="AA7">
        <v>0</v>
      </c>
      <c r="AB7">
        <v>8</v>
      </c>
      <c r="AC7">
        <v>3</v>
      </c>
      <c r="AD7">
        <v>0</v>
      </c>
      <c r="AE7">
        <v>9</v>
      </c>
      <c r="AF7" t="s">
        <v>126</v>
      </c>
      <c r="AG7">
        <v>0</v>
      </c>
      <c r="AH7">
        <v>0</v>
      </c>
      <c r="AI7">
        <v>2</v>
      </c>
      <c r="AJ7">
        <v>0</v>
      </c>
      <c r="AK7" t="s">
        <v>140</v>
      </c>
      <c r="AL7">
        <v>31.948564000000001</v>
      </c>
      <c r="AM7" t="s">
        <v>141</v>
      </c>
      <c r="AN7">
        <v>-101.111469</v>
      </c>
      <c r="AQ7" t="s">
        <v>129</v>
      </c>
      <c r="AR7">
        <v>-61</v>
      </c>
      <c r="AS7">
        <v>58</v>
      </c>
      <c r="AT7">
        <v>448</v>
      </c>
      <c r="BB7" t="str">
        <f t="shared" si="2"/>
        <v>1200</v>
      </c>
      <c r="BC7">
        <v>1</v>
      </c>
      <c r="BD7" t="str">
        <f t="shared" si="3"/>
        <v xml:space="preserve">N745MB  </v>
      </c>
      <c r="BE7">
        <v>1</v>
      </c>
      <c r="BG7">
        <v>0</v>
      </c>
      <c r="BH7">
        <v>0</v>
      </c>
      <c r="BI7">
        <v>0</v>
      </c>
      <c r="BL7" t="s">
        <v>130</v>
      </c>
      <c r="BM7">
        <v>1</v>
      </c>
      <c r="BN7">
        <v>0</v>
      </c>
      <c r="BO7">
        <v>0</v>
      </c>
      <c r="BP7">
        <v>0</v>
      </c>
      <c r="BT7">
        <v>0</v>
      </c>
      <c r="BU7">
        <v>0</v>
      </c>
      <c r="CE7" t="str">
        <f>"20:15:24.656"</f>
        <v>20:15:24.656</v>
      </c>
      <c r="CF7">
        <v>655511476</v>
      </c>
      <c r="CS7">
        <v>0</v>
      </c>
      <c r="CT7">
        <v>2</v>
      </c>
      <c r="CU7">
        <v>0</v>
      </c>
      <c r="CV7">
        <v>2</v>
      </c>
      <c r="CW7">
        <v>0</v>
      </c>
      <c r="CX7">
        <v>1</v>
      </c>
      <c r="CY7">
        <v>7</v>
      </c>
      <c r="CZ7" t="s">
        <v>131</v>
      </c>
      <c r="DA7">
        <v>116</v>
      </c>
      <c r="DB7">
        <v>3</v>
      </c>
      <c r="DC7" t="s">
        <v>132</v>
      </c>
      <c r="DD7" t="s">
        <v>133</v>
      </c>
      <c r="DG7">
        <v>8062934</v>
      </c>
      <c r="DI7">
        <v>0</v>
      </c>
      <c r="DJ7">
        <v>0</v>
      </c>
      <c r="DK7">
        <v>1</v>
      </c>
      <c r="DL7">
        <v>0</v>
      </c>
      <c r="DM7">
        <v>0</v>
      </c>
      <c r="DN7">
        <v>0</v>
      </c>
      <c r="DO7">
        <v>0</v>
      </c>
      <c r="DP7">
        <v>1</v>
      </c>
      <c r="DQ7">
        <v>0</v>
      </c>
      <c r="DR7">
        <v>0</v>
      </c>
      <c r="DS7">
        <v>0</v>
      </c>
    </row>
    <row r="8" spans="1:123" x14ac:dyDescent="0.25">
      <c r="A8" t="str">
        <f>"11/29/2023 20:15:25.241"</f>
        <v>11/29/2023 20:15:25.241</v>
      </c>
      <c r="C8" t="str">
        <f t="shared" si="0"/>
        <v>FFDF53C0</v>
      </c>
      <c r="D8" t="s">
        <v>123</v>
      </c>
      <c r="E8">
        <v>1</v>
      </c>
      <c r="F8">
        <v>1001</v>
      </c>
      <c r="G8" t="s">
        <v>134</v>
      </c>
      <c r="J8" t="s">
        <v>125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"20:15:24.648"</f>
        <v>20:15:24.648</v>
      </c>
      <c r="T8" t="str">
        <f>"20:15:23.348"</f>
        <v>20:15:23.348</v>
      </c>
      <c r="U8" t="str">
        <f t="shared" si="1"/>
        <v>AA0632</v>
      </c>
      <c r="V8">
        <v>0</v>
      </c>
      <c r="W8">
        <v>0</v>
      </c>
      <c r="X8">
        <v>2</v>
      </c>
      <c r="Y8">
        <v>0</v>
      </c>
      <c r="AA8">
        <v>0</v>
      </c>
      <c r="AB8">
        <v>8</v>
      </c>
      <c r="AC8">
        <v>3</v>
      </c>
      <c r="AD8">
        <v>0</v>
      </c>
      <c r="AE8">
        <v>9</v>
      </c>
      <c r="AF8" t="s">
        <v>126</v>
      </c>
      <c r="AG8">
        <v>0</v>
      </c>
      <c r="AH8">
        <v>0</v>
      </c>
      <c r="AI8">
        <v>2</v>
      </c>
      <c r="AJ8">
        <v>0</v>
      </c>
      <c r="AK8" t="s">
        <v>140</v>
      </c>
      <c r="AL8">
        <v>31.948564000000001</v>
      </c>
      <c r="AM8" t="s">
        <v>141</v>
      </c>
      <c r="AN8">
        <v>-101.111469</v>
      </c>
      <c r="AQ8" t="s">
        <v>129</v>
      </c>
      <c r="AR8">
        <v>-61</v>
      </c>
      <c r="AS8">
        <v>58</v>
      </c>
      <c r="AT8">
        <v>448</v>
      </c>
      <c r="BB8" t="str">
        <f t="shared" si="2"/>
        <v>1200</v>
      </c>
      <c r="BC8">
        <v>1</v>
      </c>
      <c r="BD8" t="str">
        <f t="shared" si="3"/>
        <v xml:space="preserve">N745MB  </v>
      </c>
      <c r="BE8">
        <v>1</v>
      </c>
      <c r="BG8">
        <v>0</v>
      </c>
      <c r="BH8">
        <v>0</v>
      </c>
      <c r="BI8">
        <v>0</v>
      </c>
      <c r="BL8" t="s">
        <v>130</v>
      </c>
      <c r="BM8">
        <v>1</v>
      </c>
      <c r="BN8">
        <v>0</v>
      </c>
      <c r="BO8">
        <v>0</v>
      </c>
      <c r="BP8">
        <v>0</v>
      </c>
      <c r="BT8">
        <v>0</v>
      </c>
      <c r="BU8">
        <v>0</v>
      </c>
      <c r="CE8" t="str">
        <f>"20:15:24.656"</f>
        <v>20:15:24.656</v>
      </c>
      <c r="CF8">
        <v>655511476</v>
      </c>
      <c r="CS8">
        <v>0</v>
      </c>
      <c r="CT8">
        <v>2</v>
      </c>
      <c r="CU8">
        <v>0</v>
      </c>
      <c r="CV8">
        <v>2</v>
      </c>
      <c r="CW8">
        <v>0</v>
      </c>
      <c r="CX8">
        <v>1</v>
      </c>
      <c r="CY8">
        <v>7</v>
      </c>
      <c r="CZ8" t="s">
        <v>131</v>
      </c>
      <c r="DA8">
        <v>116</v>
      </c>
      <c r="DB8">
        <v>3</v>
      </c>
      <c r="DC8" t="s">
        <v>132</v>
      </c>
      <c r="DD8" t="s">
        <v>133</v>
      </c>
      <c r="DG8">
        <v>8062934</v>
      </c>
      <c r="DI8">
        <v>0</v>
      </c>
      <c r="DJ8">
        <v>0</v>
      </c>
      <c r="DK8">
        <v>1</v>
      </c>
      <c r="DL8">
        <v>0</v>
      </c>
      <c r="DM8">
        <v>0</v>
      </c>
      <c r="DN8">
        <v>0</v>
      </c>
      <c r="DO8">
        <v>0</v>
      </c>
      <c r="DP8">
        <v>1</v>
      </c>
      <c r="DQ8">
        <v>0</v>
      </c>
      <c r="DR8">
        <v>0</v>
      </c>
      <c r="DS8">
        <v>0</v>
      </c>
    </row>
    <row r="9" spans="1:123" x14ac:dyDescent="0.25">
      <c r="A9" t="str">
        <f>"11/29/2023 20:15:25.241"</f>
        <v>11/29/2023 20:15:25.241</v>
      </c>
      <c r="C9" t="str">
        <f t="shared" si="0"/>
        <v>FFDF53C0</v>
      </c>
      <c r="D9" t="s">
        <v>135</v>
      </c>
      <c r="E9">
        <v>31</v>
      </c>
      <c r="H9">
        <v>285</v>
      </c>
      <c r="I9" t="s">
        <v>136</v>
      </c>
      <c r="J9" t="s">
        <v>137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"20:15:24.648"</f>
        <v>20:15:24.648</v>
      </c>
      <c r="T9" t="str">
        <f>"20:15:23.348"</f>
        <v>20:15:23.348</v>
      </c>
      <c r="U9" t="str">
        <f t="shared" si="1"/>
        <v>AA0632</v>
      </c>
      <c r="V9">
        <v>0</v>
      </c>
      <c r="W9">
        <v>0</v>
      </c>
      <c r="X9">
        <v>2</v>
      </c>
      <c r="Y9">
        <v>0</v>
      </c>
      <c r="AA9">
        <v>0</v>
      </c>
      <c r="AB9">
        <v>8</v>
      </c>
      <c r="AC9">
        <v>3</v>
      </c>
      <c r="AD9">
        <v>0</v>
      </c>
      <c r="AE9">
        <v>9</v>
      </c>
      <c r="AF9" t="s">
        <v>126</v>
      </c>
      <c r="AG9">
        <v>0</v>
      </c>
      <c r="AH9">
        <v>0</v>
      </c>
      <c r="AI9">
        <v>2</v>
      </c>
      <c r="AJ9">
        <v>0</v>
      </c>
      <c r="AK9" t="s">
        <v>140</v>
      </c>
      <c r="AL9">
        <v>31.948564000000001</v>
      </c>
      <c r="AM9" t="s">
        <v>141</v>
      </c>
      <c r="AN9">
        <v>-101.111469</v>
      </c>
      <c r="AQ9" t="s">
        <v>129</v>
      </c>
      <c r="AR9">
        <v>-61</v>
      </c>
      <c r="AS9">
        <v>58</v>
      </c>
      <c r="AT9">
        <v>448</v>
      </c>
      <c r="BB9" t="str">
        <f t="shared" si="2"/>
        <v>1200</v>
      </c>
      <c r="BC9">
        <v>1</v>
      </c>
      <c r="BD9" t="str">
        <f t="shared" si="3"/>
        <v xml:space="preserve">N745MB  </v>
      </c>
      <c r="BE9">
        <v>1</v>
      </c>
      <c r="BG9">
        <v>0</v>
      </c>
      <c r="BH9">
        <v>0</v>
      </c>
      <c r="BI9">
        <v>0</v>
      </c>
      <c r="BL9" t="s">
        <v>130</v>
      </c>
      <c r="BM9">
        <v>1</v>
      </c>
      <c r="BN9">
        <v>0</v>
      </c>
      <c r="BO9">
        <v>0</v>
      </c>
      <c r="BP9">
        <v>0</v>
      </c>
      <c r="BT9">
        <v>0</v>
      </c>
      <c r="BU9">
        <v>0</v>
      </c>
      <c r="CE9" t="str">
        <f>"20:15:24.656"</f>
        <v>20:15:24.656</v>
      </c>
      <c r="CF9">
        <v>655511476</v>
      </c>
      <c r="CS9">
        <v>0</v>
      </c>
      <c r="CT9">
        <v>2</v>
      </c>
      <c r="CU9">
        <v>0</v>
      </c>
      <c r="CV9">
        <v>2</v>
      </c>
      <c r="CW9">
        <v>0</v>
      </c>
      <c r="CX9">
        <v>1</v>
      </c>
      <c r="CY9">
        <v>7</v>
      </c>
      <c r="CZ9" t="s">
        <v>131</v>
      </c>
      <c r="DA9">
        <v>116</v>
      </c>
      <c r="DB9">
        <v>3</v>
      </c>
      <c r="DC9" t="s">
        <v>132</v>
      </c>
      <c r="DD9" t="s">
        <v>133</v>
      </c>
      <c r="DG9">
        <v>8062934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1</v>
      </c>
      <c r="DQ9">
        <v>0</v>
      </c>
      <c r="DR9">
        <v>0</v>
      </c>
      <c r="DS9">
        <v>0</v>
      </c>
    </row>
    <row r="10" spans="1:123" x14ac:dyDescent="0.25">
      <c r="A10" t="str">
        <f>"11/29/2023 20:15:26.257"</f>
        <v>11/29/2023 20:15:26.257</v>
      </c>
      <c r="C10" t="str">
        <f t="shared" si="0"/>
        <v>FFDF53C0</v>
      </c>
      <c r="D10" t="s">
        <v>138</v>
      </c>
      <c r="E10">
        <v>3</v>
      </c>
      <c r="H10">
        <v>160</v>
      </c>
      <c r="I10" t="s">
        <v>124</v>
      </c>
      <c r="J10" t="s">
        <v>139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"20:15:25.797"</f>
        <v>20:15:25.797</v>
      </c>
      <c r="T10" t="str">
        <f>"20:15:25.397"</f>
        <v>20:15:25.397</v>
      </c>
      <c r="U10" t="str">
        <f t="shared" si="1"/>
        <v>AA0632</v>
      </c>
      <c r="V10">
        <v>0</v>
      </c>
      <c r="W10">
        <v>0</v>
      </c>
      <c r="X10">
        <v>2</v>
      </c>
      <c r="Y10">
        <v>0</v>
      </c>
      <c r="AA10">
        <v>0</v>
      </c>
      <c r="AB10">
        <v>8</v>
      </c>
      <c r="AC10">
        <v>3</v>
      </c>
      <c r="AD10">
        <v>0</v>
      </c>
      <c r="AE10">
        <v>9</v>
      </c>
      <c r="AF10" t="s">
        <v>126</v>
      </c>
      <c r="AG10">
        <v>0</v>
      </c>
      <c r="AH10">
        <v>0</v>
      </c>
      <c r="AI10">
        <v>2</v>
      </c>
      <c r="AJ10">
        <v>0</v>
      </c>
      <c r="AK10" t="s">
        <v>142</v>
      </c>
      <c r="AL10">
        <v>31.948886000000002</v>
      </c>
      <c r="AM10" t="s">
        <v>143</v>
      </c>
      <c r="AN10">
        <v>-101.111834</v>
      </c>
      <c r="AQ10" t="s">
        <v>129</v>
      </c>
      <c r="AR10">
        <v>-61</v>
      </c>
      <c r="AS10">
        <v>58</v>
      </c>
      <c r="AT10">
        <v>512</v>
      </c>
      <c r="BB10" t="str">
        <f t="shared" si="2"/>
        <v>1200</v>
      </c>
      <c r="BC10">
        <v>1</v>
      </c>
      <c r="BD10" t="str">
        <f t="shared" si="3"/>
        <v xml:space="preserve">N745MB  </v>
      </c>
      <c r="BE10">
        <v>1</v>
      </c>
      <c r="BG10">
        <v>0</v>
      </c>
      <c r="BH10">
        <v>0</v>
      </c>
      <c r="BI10">
        <v>0</v>
      </c>
      <c r="BL10" t="s">
        <v>130</v>
      </c>
      <c r="BM10">
        <v>1</v>
      </c>
      <c r="BN10">
        <v>0</v>
      </c>
      <c r="BO10">
        <v>0</v>
      </c>
      <c r="BP10">
        <v>0</v>
      </c>
      <c r="BT10">
        <v>0</v>
      </c>
      <c r="BU10">
        <v>0</v>
      </c>
      <c r="CE10" t="str">
        <f>"20:15:25.799"</f>
        <v>20:15:25.799</v>
      </c>
      <c r="CF10">
        <v>799432186</v>
      </c>
      <c r="CS10">
        <v>0</v>
      </c>
      <c r="CT10">
        <v>2</v>
      </c>
      <c r="CU10">
        <v>0</v>
      </c>
      <c r="CV10">
        <v>2</v>
      </c>
      <c r="CW10">
        <v>0</v>
      </c>
      <c r="CX10">
        <v>1</v>
      </c>
      <c r="CY10">
        <v>7</v>
      </c>
      <c r="CZ10" t="s">
        <v>131</v>
      </c>
      <c r="DA10">
        <v>116</v>
      </c>
      <c r="DB10">
        <v>3</v>
      </c>
      <c r="DC10" t="s">
        <v>132</v>
      </c>
      <c r="DD10" t="s">
        <v>133</v>
      </c>
      <c r="DG10">
        <v>8063586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1</v>
      </c>
      <c r="DQ10">
        <v>0</v>
      </c>
      <c r="DR10">
        <v>0</v>
      </c>
      <c r="DS10">
        <v>0</v>
      </c>
    </row>
    <row r="11" spans="1:123" x14ac:dyDescent="0.25">
      <c r="A11" t="str">
        <f>"11/29/2023 20:15:26.257"</f>
        <v>11/29/2023 20:15:26.257</v>
      </c>
      <c r="C11" t="str">
        <f t="shared" si="0"/>
        <v>FFDF53C0</v>
      </c>
      <c r="D11" t="s">
        <v>123</v>
      </c>
      <c r="E11">
        <v>14</v>
      </c>
      <c r="F11">
        <v>1014</v>
      </c>
      <c r="G11" t="s">
        <v>124</v>
      </c>
      <c r="J11" t="s">
        <v>125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"20:15:25.797"</f>
        <v>20:15:25.797</v>
      </c>
      <c r="T11" t="str">
        <f>"20:15:25.397"</f>
        <v>20:15:25.397</v>
      </c>
      <c r="U11" t="str">
        <f t="shared" si="1"/>
        <v>AA0632</v>
      </c>
      <c r="V11">
        <v>0</v>
      </c>
      <c r="W11">
        <v>0</v>
      </c>
      <c r="X11">
        <v>2</v>
      </c>
      <c r="Y11">
        <v>0</v>
      </c>
      <c r="AA11">
        <v>0</v>
      </c>
      <c r="AB11">
        <v>8</v>
      </c>
      <c r="AC11">
        <v>3</v>
      </c>
      <c r="AD11">
        <v>0</v>
      </c>
      <c r="AE11">
        <v>9</v>
      </c>
      <c r="AF11" t="s">
        <v>126</v>
      </c>
      <c r="AG11">
        <v>0</v>
      </c>
      <c r="AH11">
        <v>0</v>
      </c>
      <c r="AI11">
        <v>2</v>
      </c>
      <c r="AJ11">
        <v>0</v>
      </c>
      <c r="AK11" t="s">
        <v>142</v>
      </c>
      <c r="AL11">
        <v>31.948886000000002</v>
      </c>
      <c r="AM11" t="s">
        <v>143</v>
      </c>
      <c r="AN11">
        <v>-101.111834</v>
      </c>
      <c r="AQ11" t="s">
        <v>129</v>
      </c>
      <c r="AR11">
        <v>-61</v>
      </c>
      <c r="AS11">
        <v>58</v>
      </c>
      <c r="AT11">
        <v>512</v>
      </c>
      <c r="BB11" t="str">
        <f t="shared" si="2"/>
        <v>1200</v>
      </c>
      <c r="BC11">
        <v>1</v>
      </c>
      <c r="BD11" t="str">
        <f t="shared" si="3"/>
        <v xml:space="preserve">N745MB  </v>
      </c>
      <c r="BE11">
        <v>1</v>
      </c>
      <c r="BG11">
        <v>0</v>
      </c>
      <c r="BH11">
        <v>0</v>
      </c>
      <c r="BI11">
        <v>0</v>
      </c>
      <c r="BL11" t="s">
        <v>130</v>
      </c>
      <c r="BM11">
        <v>1</v>
      </c>
      <c r="BN11">
        <v>0</v>
      </c>
      <c r="BO11">
        <v>0</v>
      </c>
      <c r="BP11">
        <v>0</v>
      </c>
      <c r="BT11">
        <v>0</v>
      </c>
      <c r="BU11">
        <v>0</v>
      </c>
      <c r="CE11" t="str">
        <f>"20:15:25.799"</f>
        <v>20:15:25.799</v>
      </c>
      <c r="CF11">
        <v>799432186</v>
      </c>
      <c r="CS11">
        <v>0</v>
      </c>
      <c r="CT11">
        <v>2</v>
      </c>
      <c r="CU11">
        <v>0</v>
      </c>
      <c r="CV11">
        <v>2</v>
      </c>
      <c r="CW11">
        <v>0</v>
      </c>
      <c r="CX11">
        <v>1</v>
      </c>
      <c r="CY11">
        <v>7</v>
      </c>
      <c r="CZ11" t="s">
        <v>131</v>
      </c>
      <c r="DA11">
        <v>116</v>
      </c>
      <c r="DB11">
        <v>3</v>
      </c>
      <c r="DC11" t="s">
        <v>132</v>
      </c>
      <c r="DD11" t="s">
        <v>133</v>
      </c>
      <c r="DG11">
        <v>8063586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1</v>
      </c>
      <c r="DQ11">
        <v>0</v>
      </c>
      <c r="DR11">
        <v>0</v>
      </c>
      <c r="DS11">
        <v>0</v>
      </c>
    </row>
    <row r="12" spans="1:123" x14ac:dyDescent="0.25">
      <c r="A12" t="str">
        <f>"11/29/2023 20:15:26.257"</f>
        <v>11/29/2023 20:15:26.257</v>
      </c>
      <c r="C12" t="str">
        <f t="shared" si="0"/>
        <v>FFDF53C0</v>
      </c>
      <c r="D12" t="s">
        <v>123</v>
      </c>
      <c r="E12">
        <v>1</v>
      </c>
      <c r="F12">
        <v>1001</v>
      </c>
      <c r="G12" t="s">
        <v>134</v>
      </c>
      <c r="J12" t="s">
        <v>125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"20:15:25.797"</f>
        <v>20:15:25.797</v>
      </c>
      <c r="T12" t="str">
        <f>"20:15:25.397"</f>
        <v>20:15:25.397</v>
      </c>
      <c r="U12" t="str">
        <f t="shared" si="1"/>
        <v>AA0632</v>
      </c>
      <c r="V12">
        <v>0</v>
      </c>
      <c r="W12">
        <v>0</v>
      </c>
      <c r="X12">
        <v>2</v>
      </c>
      <c r="Y12">
        <v>0</v>
      </c>
      <c r="AA12">
        <v>0</v>
      </c>
      <c r="AB12">
        <v>8</v>
      </c>
      <c r="AC12">
        <v>3</v>
      </c>
      <c r="AD12">
        <v>0</v>
      </c>
      <c r="AE12">
        <v>9</v>
      </c>
      <c r="AF12" t="s">
        <v>126</v>
      </c>
      <c r="AG12">
        <v>0</v>
      </c>
      <c r="AH12">
        <v>0</v>
      </c>
      <c r="AI12">
        <v>2</v>
      </c>
      <c r="AJ12">
        <v>0</v>
      </c>
      <c r="AK12" t="s">
        <v>142</v>
      </c>
      <c r="AL12">
        <v>31.948886000000002</v>
      </c>
      <c r="AM12" t="s">
        <v>143</v>
      </c>
      <c r="AN12">
        <v>-101.111834</v>
      </c>
      <c r="AQ12" t="s">
        <v>129</v>
      </c>
      <c r="AR12">
        <v>-61</v>
      </c>
      <c r="AS12">
        <v>58</v>
      </c>
      <c r="AT12">
        <v>512</v>
      </c>
      <c r="BB12" t="str">
        <f t="shared" si="2"/>
        <v>1200</v>
      </c>
      <c r="BC12">
        <v>1</v>
      </c>
      <c r="BD12" t="str">
        <f t="shared" si="3"/>
        <v xml:space="preserve">N745MB  </v>
      </c>
      <c r="BE12">
        <v>1</v>
      </c>
      <c r="BG12">
        <v>0</v>
      </c>
      <c r="BH12">
        <v>0</v>
      </c>
      <c r="BI12">
        <v>0</v>
      </c>
      <c r="BL12" t="s">
        <v>130</v>
      </c>
      <c r="BM12">
        <v>1</v>
      </c>
      <c r="BN12">
        <v>0</v>
      </c>
      <c r="BO12">
        <v>0</v>
      </c>
      <c r="BP12">
        <v>0</v>
      </c>
      <c r="BT12">
        <v>0</v>
      </c>
      <c r="BU12">
        <v>0</v>
      </c>
      <c r="CE12" t="str">
        <f>"20:15:25.799"</f>
        <v>20:15:25.799</v>
      </c>
      <c r="CF12">
        <v>799432186</v>
      </c>
      <c r="CS12">
        <v>0</v>
      </c>
      <c r="CT12">
        <v>2</v>
      </c>
      <c r="CU12">
        <v>0</v>
      </c>
      <c r="CV12">
        <v>2</v>
      </c>
      <c r="CW12">
        <v>0</v>
      </c>
      <c r="CX12">
        <v>1</v>
      </c>
      <c r="CY12">
        <v>7</v>
      </c>
      <c r="CZ12" t="s">
        <v>131</v>
      </c>
      <c r="DA12">
        <v>116</v>
      </c>
      <c r="DB12">
        <v>3</v>
      </c>
      <c r="DC12" t="s">
        <v>132</v>
      </c>
      <c r="DD12" t="s">
        <v>133</v>
      </c>
      <c r="DG12">
        <v>8063586</v>
      </c>
      <c r="DI12">
        <v>0</v>
      </c>
      <c r="DJ12">
        <v>0</v>
      </c>
      <c r="DK12">
        <v>1</v>
      </c>
      <c r="DL12">
        <v>0</v>
      </c>
      <c r="DM12">
        <v>0</v>
      </c>
      <c r="DN12">
        <v>0</v>
      </c>
      <c r="DO12">
        <v>0</v>
      </c>
      <c r="DP12">
        <v>1</v>
      </c>
      <c r="DQ12">
        <v>0</v>
      </c>
      <c r="DR12">
        <v>0</v>
      </c>
      <c r="DS12">
        <v>0</v>
      </c>
    </row>
    <row r="13" spans="1:123" x14ac:dyDescent="0.25">
      <c r="A13" t="str">
        <f>"11/29/2023 20:15:26.257"</f>
        <v>11/29/2023 20:15:26.257</v>
      </c>
      <c r="C13" t="str">
        <f t="shared" si="0"/>
        <v>FFDF53C0</v>
      </c>
      <c r="D13" t="s">
        <v>135</v>
      </c>
      <c r="E13">
        <v>31</v>
      </c>
      <c r="H13">
        <v>285</v>
      </c>
      <c r="I13" t="s">
        <v>136</v>
      </c>
      <c r="J13" t="s">
        <v>137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"20:15:25.797"</f>
        <v>20:15:25.797</v>
      </c>
      <c r="T13" t="str">
        <f>"20:15:25.397"</f>
        <v>20:15:25.397</v>
      </c>
      <c r="U13" t="str">
        <f t="shared" si="1"/>
        <v>AA0632</v>
      </c>
      <c r="V13">
        <v>0</v>
      </c>
      <c r="W13">
        <v>0</v>
      </c>
      <c r="X13">
        <v>2</v>
      </c>
      <c r="Y13">
        <v>0</v>
      </c>
      <c r="AA13">
        <v>0</v>
      </c>
      <c r="AB13">
        <v>8</v>
      </c>
      <c r="AC13">
        <v>3</v>
      </c>
      <c r="AD13">
        <v>0</v>
      </c>
      <c r="AE13">
        <v>9</v>
      </c>
      <c r="AF13" t="s">
        <v>126</v>
      </c>
      <c r="AG13">
        <v>0</v>
      </c>
      <c r="AH13">
        <v>0</v>
      </c>
      <c r="AI13">
        <v>2</v>
      </c>
      <c r="AJ13">
        <v>0</v>
      </c>
      <c r="AK13" t="s">
        <v>142</v>
      </c>
      <c r="AL13">
        <v>31.948886000000002</v>
      </c>
      <c r="AM13" t="s">
        <v>143</v>
      </c>
      <c r="AN13">
        <v>-101.111834</v>
      </c>
      <c r="AQ13" t="s">
        <v>129</v>
      </c>
      <c r="AR13">
        <v>-61</v>
      </c>
      <c r="AS13">
        <v>58</v>
      </c>
      <c r="AT13">
        <v>512</v>
      </c>
      <c r="BB13" t="str">
        <f t="shared" si="2"/>
        <v>1200</v>
      </c>
      <c r="BC13">
        <v>1</v>
      </c>
      <c r="BD13" t="str">
        <f t="shared" si="3"/>
        <v xml:space="preserve">N745MB  </v>
      </c>
      <c r="BE13">
        <v>1</v>
      </c>
      <c r="BG13">
        <v>0</v>
      </c>
      <c r="BH13">
        <v>0</v>
      </c>
      <c r="BI13">
        <v>0</v>
      </c>
      <c r="BL13" t="s">
        <v>130</v>
      </c>
      <c r="BM13">
        <v>1</v>
      </c>
      <c r="BN13">
        <v>0</v>
      </c>
      <c r="BO13">
        <v>0</v>
      </c>
      <c r="BP13">
        <v>0</v>
      </c>
      <c r="BT13">
        <v>0</v>
      </c>
      <c r="BU13">
        <v>0</v>
      </c>
      <c r="CE13" t="str">
        <f>"20:15:25.799"</f>
        <v>20:15:25.799</v>
      </c>
      <c r="CF13">
        <v>799432186</v>
      </c>
      <c r="CS13">
        <v>0</v>
      </c>
      <c r="CT13">
        <v>2</v>
      </c>
      <c r="CU13">
        <v>0</v>
      </c>
      <c r="CV13">
        <v>2</v>
      </c>
      <c r="CW13">
        <v>0</v>
      </c>
      <c r="CX13">
        <v>1</v>
      </c>
      <c r="CY13">
        <v>7</v>
      </c>
      <c r="CZ13" t="s">
        <v>131</v>
      </c>
      <c r="DA13">
        <v>116</v>
      </c>
      <c r="DB13">
        <v>3</v>
      </c>
      <c r="DC13" t="s">
        <v>132</v>
      </c>
      <c r="DD13" t="s">
        <v>133</v>
      </c>
      <c r="DG13">
        <v>8063586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1</v>
      </c>
      <c r="DQ13">
        <v>0</v>
      </c>
      <c r="DR13">
        <v>0</v>
      </c>
      <c r="DS13">
        <v>0</v>
      </c>
    </row>
    <row r="14" spans="1:123" x14ac:dyDescent="0.25">
      <c r="A14" t="str">
        <f>"11/29/2023 20:15:27.429"</f>
        <v>11/29/2023 20:15:27.429</v>
      </c>
      <c r="C14" t="str">
        <f t="shared" si="0"/>
        <v>FFDF53C0</v>
      </c>
      <c r="D14" t="s">
        <v>123</v>
      </c>
      <c r="E14">
        <v>1</v>
      </c>
      <c r="F14">
        <v>1001</v>
      </c>
      <c r="G14" t="s">
        <v>134</v>
      </c>
      <c r="J14" t="s">
        <v>125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 t="shared" ref="S14:T17" si="4">"20:15:26.922"</f>
        <v>20:15:26.922</v>
      </c>
      <c r="T14" t="str">
        <f t="shared" si="4"/>
        <v>20:15:26.922</v>
      </c>
      <c r="U14" t="str">
        <f t="shared" si="1"/>
        <v>AA0632</v>
      </c>
      <c r="V14">
        <v>0</v>
      </c>
      <c r="W14">
        <v>0</v>
      </c>
      <c r="X14">
        <v>2</v>
      </c>
      <c r="Y14">
        <v>0</v>
      </c>
      <c r="AA14">
        <v>0</v>
      </c>
      <c r="AB14">
        <v>8</v>
      </c>
      <c r="AC14">
        <v>3</v>
      </c>
      <c r="AD14">
        <v>0</v>
      </c>
      <c r="AE14">
        <v>9</v>
      </c>
      <c r="AF14" t="s">
        <v>126</v>
      </c>
      <c r="AG14">
        <v>0</v>
      </c>
      <c r="AH14">
        <v>0</v>
      </c>
      <c r="AI14">
        <v>2</v>
      </c>
      <c r="AJ14">
        <v>0</v>
      </c>
      <c r="AK14" t="s">
        <v>144</v>
      </c>
      <c r="AL14">
        <v>31.949165000000001</v>
      </c>
      <c r="AM14" t="s">
        <v>145</v>
      </c>
      <c r="AN14">
        <v>-101.11221999999999</v>
      </c>
      <c r="AQ14" t="s">
        <v>129</v>
      </c>
      <c r="AR14">
        <v>-62</v>
      </c>
      <c r="AS14">
        <v>58</v>
      </c>
      <c r="AT14">
        <v>384</v>
      </c>
      <c r="BB14" t="str">
        <f t="shared" si="2"/>
        <v>1200</v>
      </c>
      <c r="BC14">
        <v>1</v>
      </c>
      <c r="BD14" t="str">
        <f t="shared" si="3"/>
        <v xml:space="preserve">N745MB  </v>
      </c>
      <c r="BE14">
        <v>1</v>
      </c>
      <c r="BG14">
        <v>0</v>
      </c>
      <c r="BH14">
        <v>0</v>
      </c>
      <c r="BI14">
        <v>0</v>
      </c>
      <c r="BL14" t="s">
        <v>130</v>
      </c>
      <c r="BM14">
        <v>1</v>
      </c>
      <c r="BN14">
        <v>0</v>
      </c>
      <c r="BO14">
        <v>0</v>
      </c>
      <c r="BP14">
        <v>0</v>
      </c>
      <c r="BT14">
        <v>0</v>
      </c>
      <c r="BU14">
        <v>0</v>
      </c>
      <c r="CE14" t="str">
        <f>"20:15:26.927"</f>
        <v>20:15:26.927</v>
      </c>
      <c r="CF14">
        <v>927354252</v>
      </c>
      <c r="CS14">
        <v>0</v>
      </c>
      <c r="CT14">
        <v>2</v>
      </c>
      <c r="CU14">
        <v>0</v>
      </c>
      <c r="CV14">
        <v>2</v>
      </c>
      <c r="CW14">
        <v>0</v>
      </c>
      <c r="CX14">
        <v>1</v>
      </c>
      <c r="CY14">
        <v>7</v>
      </c>
      <c r="CZ14" t="s">
        <v>131</v>
      </c>
      <c r="DA14">
        <v>116</v>
      </c>
      <c r="DB14">
        <v>3</v>
      </c>
      <c r="DC14" t="s">
        <v>132</v>
      </c>
      <c r="DD14" t="s">
        <v>133</v>
      </c>
      <c r="DG14">
        <v>8064201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1</v>
      </c>
      <c r="DQ14">
        <v>0</v>
      </c>
      <c r="DR14">
        <v>0</v>
      </c>
      <c r="DS14">
        <v>0</v>
      </c>
    </row>
    <row r="15" spans="1:123" x14ac:dyDescent="0.25">
      <c r="A15" t="str">
        <f>"11/29/2023 20:15:27.429"</f>
        <v>11/29/2023 20:15:27.429</v>
      </c>
      <c r="C15" t="str">
        <f t="shared" si="0"/>
        <v>FFDF53C0</v>
      </c>
      <c r="D15" t="s">
        <v>135</v>
      </c>
      <c r="E15">
        <v>31</v>
      </c>
      <c r="H15">
        <v>285</v>
      </c>
      <c r="I15" t="s">
        <v>136</v>
      </c>
      <c r="J15" t="s">
        <v>137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 t="shared" si="4"/>
        <v>20:15:26.922</v>
      </c>
      <c r="T15" t="str">
        <f t="shared" si="4"/>
        <v>20:15:26.922</v>
      </c>
      <c r="U15" t="str">
        <f t="shared" si="1"/>
        <v>AA0632</v>
      </c>
      <c r="V15">
        <v>0</v>
      </c>
      <c r="W15">
        <v>0</v>
      </c>
      <c r="X15">
        <v>2</v>
      </c>
      <c r="Y15">
        <v>0</v>
      </c>
      <c r="AA15">
        <v>0</v>
      </c>
      <c r="AB15">
        <v>8</v>
      </c>
      <c r="AC15">
        <v>3</v>
      </c>
      <c r="AD15">
        <v>0</v>
      </c>
      <c r="AE15">
        <v>9</v>
      </c>
      <c r="AF15" t="s">
        <v>126</v>
      </c>
      <c r="AG15">
        <v>0</v>
      </c>
      <c r="AH15">
        <v>0</v>
      </c>
      <c r="AI15">
        <v>2</v>
      </c>
      <c r="AJ15">
        <v>0</v>
      </c>
      <c r="AK15" t="s">
        <v>144</v>
      </c>
      <c r="AL15">
        <v>31.949165000000001</v>
      </c>
      <c r="AM15" t="s">
        <v>145</v>
      </c>
      <c r="AN15">
        <v>-101.11221999999999</v>
      </c>
      <c r="AQ15" t="s">
        <v>129</v>
      </c>
      <c r="AR15">
        <v>-62</v>
      </c>
      <c r="AS15">
        <v>58</v>
      </c>
      <c r="AT15">
        <v>384</v>
      </c>
      <c r="BB15" t="str">
        <f t="shared" si="2"/>
        <v>1200</v>
      </c>
      <c r="BC15">
        <v>1</v>
      </c>
      <c r="BD15" t="str">
        <f t="shared" si="3"/>
        <v xml:space="preserve">N745MB  </v>
      </c>
      <c r="BE15">
        <v>1</v>
      </c>
      <c r="BG15">
        <v>0</v>
      </c>
      <c r="BH15">
        <v>0</v>
      </c>
      <c r="BI15">
        <v>0</v>
      </c>
      <c r="BL15" t="s">
        <v>130</v>
      </c>
      <c r="BM15">
        <v>1</v>
      </c>
      <c r="BN15">
        <v>0</v>
      </c>
      <c r="BO15">
        <v>0</v>
      </c>
      <c r="BP15">
        <v>0</v>
      </c>
      <c r="BT15">
        <v>0</v>
      </c>
      <c r="BU15">
        <v>0</v>
      </c>
      <c r="CE15" t="str">
        <f>"20:15:26.927"</f>
        <v>20:15:26.927</v>
      </c>
      <c r="CF15">
        <v>927354252</v>
      </c>
      <c r="CS15">
        <v>0</v>
      </c>
      <c r="CT15">
        <v>2</v>
      </c>
      <c r="CU15">
        <v>0</v>
      </c>
      <c r="CV15">
        <v>2</v>
      </c>
      <c r="CW15">
        <v>0</v>
      </c>
      <c r="CX15">
        <v>1</v>
      </c>
      <c r="CY15">
        <v>7</v>
      </c>
      <c r="CZ15" t="s">
        <v>131</v>
      </c>
      <c r="DA15">
        <v>116</v>
      </c>
      <c r="DB15">
        <v>3</v>
      </c>
      <c r="DC15" t="s">
        <v>132</v>
      </c>
      <c r="DD15" t="s">
        <v>133</v>
      </c>
      <c r="DG15">
        <v>8064201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1</v>
      </c>
      <c r="DQ15">
        <v>0</v>
      </c>
      <c r="DR15">
        <v>0</v>
      </c>
      <c r="DS15">
        <v>0</v>
      </c>
    </row>
    <row r="16" spans="1:123" x14ac:dyDescent="0.25">
      <c r="A16" t="str">
        <f>"11/29/2023 20:15:27.429"</f>
        <v>11/29/2023 20:15:27.429</v>
      </c>
      <c r="C16" t="str">
        <f t="shared" si="0"/>
        <v>FFDF53C0</v>
      </c>
      <c r="D16" t="s">
        <v>138</v>
      </c>
      <c r="E16">
        <v>3</v>
      </c>
      <c r="H16">
        <v>160</v>
      </c>
      <c r="I16" t="s">
        <v>124</v>
      </c>
      <c r="J16" t="s">
        <v>139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 t="shared" si="4"/>
        <v>20:15:26.922</v>
      </c>
      <c r="T16" t="str">
        <f t="shared" si="4"/>
        <v>20:15:26.922</v>
      </c>
      <c r="U16" t="str">
        <f t="shared" si="1"/>
        <v>AA0632</v>
      </c>
      <c r="V16">
        <v>0</v>
      </c>
      <c r="W16">
        <v>0</v>
      </c>
      <c r="X16">
        <v>2</v>
      </c>
      <c r="Y16">
        <v>0</v>
      </c>
      <c r="AA16">
        <v>0</v>
      </c>
      <c r="AB16">
        <v>8</v>
      </c>
      <c r="AC16">
        <v>3</v>
      </c>
      <c r="AD16">
        <v>0</v>
      </c>
      <c r="AE16">
        <v>9</v>
      </c>
      <c r="AF16" t="s">
        <v>126</v>
      </c>
      <c r="AG16">
        <v>0</v>
      </c>
      <c r="AH16">
        <v>0</v>
      </c>
      <c r="AI16">
        <v>2</v>
      </c>
      <c r="AJ16">
        <v>0</v>
      </c>
      <c r="AK16" t="s">
        <v>144</v>
      </c>
      <c r="AL16">
        <v>31.949165000000001</v>
      </c>
      <c r="AM16" t="s">
        <v>145</v>
      </c>
      <c r="AN16">
        <v>-101.11221999999999</v>
      </c>
      <c r="AQ16" t="s">
        <v>129</v>
      </c>
      <c r="AR16">
        <v>-62</v>
      </c>
      <c r="AS16">
        <v>58</v>
      </c>
      <c r="AT16">
        <v>384</v>
      </c>
      <c r="BB16" t="str">
        <f t="shared" si="2"/>
        <v>1200</v>
      </c>
      <c r="BC16">
        <v>1</v>
      </c>
      <c r="BD16" t="str">
        <f t="shared" si="3"/>
        <v xml:space="preserve">N745MB  </v>
      </c>
      <c r="BE16">
        <v>1</v>
      </c>
      <c r="BG16">
        <v>0</v>
      </c>
      <c r="BH16">
        <v>0</v>
      </c>
      <c r="BI16">
        <v>0</v>
      </c>
      <c r="BL16" t="s">
        <v>130</v>
      </c>
      <c r="BM16">
        <v>1</v>
      </c>
      <c r="BN16">
        <v>0</v>
      </c>
      <c r="BO16">
        <v>0</v>
      </c>
      <c r="BP16">
        <v>0</v>
      </c>
      <c r="BT16">
        <v>0</v>
      </c>
      <c r="BU16">
        <v>0</v>
      </c>
      <c r="CE16" t="str">
        <f>"20:15:26.927"</f>
        <v>20:15:26.927</v>
      </c>
      <c r="CF16">
        <v>927354252</v>
      </c>
      <c r="CS16">
        <v>0</v>
      </c>
      <c r="CT16">
        <v>2</v>
      </c>
      <c r="CU16">
        <v>0</v>
      </c>
      <c r="CV16">
        <v>2</v>
      </c>
      <c r="CW16">
        <v>0</v>
      </c>
      <c r="CX16">
        <v>1</v>
      </c>
      <c r="CY16">
        <v>7</v>
      </c>
      <c r="CZ16" t="s">
        <v>131</v>
      </c>
      <c r="DA16">
        <v>116</v>
      </c>
      <c r="DB16">
        <v>3</v>
      </c>
      <c r="DC16" t="s">
        <v>132</v>
      </c>
      <c r="DD16" t="s">
        <v>133</v>
      </c>
      <c r="DG16">
        <v>8064201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0</v>
      </c>
      <c r="DO16">
        <v>0</v>
      </c>
      <c r="DP16">
        <v>1</v>
      </c>
      <c r="DQ16">
        <v>0</v>
      </c>
      <c r="DR16">
        <v>0</v>
      </c>
      <c r="DS16">
        <v>0</v>
      </c>
    </row>
    <row r="17" spans="1:123" x14ac:dyDescent="0.25">
      <c r="A17" t="str">
        <f>"11/29/2023 20:15:27.429"</f>
        <v>11/29/2023 20:15:27.429</v>
      </c>
      <c r="C17" t="str">
        <f t="shared" si="0"/>
        <v>FFDF53C0</v>
      </c>
      <c r="D17" t="s">
        <v>123</v>
      </c>
      <c r="E17">
        <v>14</v>
      </c>
      <c r="F17">
        <v>1014</v>
      </c>
      <c r="G17" t="s">
        <v>124</v>
      </c>
      <c r="J17" t="s">
        <v>125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 t="shared" si="4"/>
        <v>20:15:26.922</v>
      </c>
      <c r="T17" t="str">
        <f t="shared" si="4"/>
        <v>20:15:26.922</v>
      </c>
      <c r="U17" t="str">
        <f t="shared" si="1"/>
        <v>AA0632</v>
      </c>
      <c r="V17">
        <v>0</v>
      </c>
      <c r="W17">
        <v>0</v>
      </c>
      <c r="X17">
        <v>2</v>
      </c>
      <c r="Y17">
        <v>0</v>
      </c>
      <c r="AA17">
        <v>0</v>
      </c>
      <c r="AB17">
        <v>8</v>
      </c>
      <c r="AC17">
        <v>3</v>
      </c>
      <c r="AD17">
        <v>0</v>
      </c>
      <c r="AE17">
        <v>9</v>
      </c>
      <c r="AF17" t="s">
        <v>126</v>
      </c>
      <c r="AG17">
        <v>0</v>
      </c>
      <c r="AH17">
        <v>0</v>
      </c>
      <c r="AI17">
        <v>2</v>
      </c>
      <c r="AJ17">
        <v>0</v>
      </c>
      <c r="AK17" t="s">
        <v>144</v>
      </c>
      <c r="AL17">
        <v>31.949165000000001</v>
      </c>
      <c r="AM17" t="s">
        <v>145</v>
      </c>
      <c r="AN17">
        <v>-101.11221999999999</v>
      </c>
      <c r="AQ17" t="s">
        <v>129</v>
      </c>
      <c r="AR17">
        <v>-62</v>
      </c>
      <c r="AS17">
        <v>58</v>
      </c>
      <c r="AT17">
        <v>384</v>
      </c>
      <c r="BB17" t="str">
        <f t="shared" si="2"/>
        <v>1200</v>
      </c>
      <c r="BC17">
        <v>1</v>
      </c>
      <c r="BD17" t="str">
        <f t="shared" si="3"/>
        <v xml:space="preserve">N745MB  </v>
      </c>
      <c r="BE17">
        <v>1</v>
      </c>
      <c r="BG17">
        <v>0</v>
      </c>
      <c r="BH17">
        <v>0</v>
      </c>
      <c r="BI17">
        <v>0</v>
      </c>
      <c r="BL17" t="s">
        <v>130</v>
      </c>
      <c r="BM17">
        <v>1</v>
      </c>
      <c r="BN17">
        <v>0</v>
      </c>
      <c r="BO17">
        <v>0</v>
      </c>
      <c r="BP17">
        <v>0</v>
      </c>
      <c r="BT17">
        <v>0</v>
      </c>
      <c r="BU17">
        <v>0</v>
      </c>
      <c r="CE17" t="str">
        <f>"20:15:26.927"</f>
        <v>20:15:26.927</v>
      </c>
      <c r="CF17">
        <v>927354252</v>
      </c>
      <c r="CS17">
        <v>0</v>
      </c>
      <c r="CT17">
        <v>2</v>
      </c>
      <c r="CU17">
        <v>0</v>
      </c>
      <c r="CV17">
        <v>2</v>
      </c>
      <c r="CW17">
        <v>0</v>
      </c>
      <c r="CX17">
        <v>1</v>
      </c>
      <c r="CY17">
        <v>7</v>
      </c>
      <c r="CZ17" t="s">
        <v>131</v>
      </c>
      <c r="DA17">
        <v>116</v>
      </c>
      <c r="DB17">
        <v>3</v>
      </c>
      <c r="DC17" t="s">
        <v>132</v>
      </c>
      <c r="DD17" t="s">
        <v>133</v>
      </c>
      <c r="DG17">
        <v>8064201</v>
      </c>
      <c r="DI17">
        <v>0</v>
      </c>
      <c r="DJ17">
        <v>0</v>
      </c>
      <c r="DK17">
        <v>1</v>
      </c>
      <c r="DL17">
        <v>0</v>
      </c>
      <c r="DM17">
        <v>0</v>
      </c>
      <c r="DN17">
        <v>0</v>
      </c>
      <c r="DO17">
        <v>0</v>
      </c>
      <c r="DP17">
        <v>1</v>
      </c>
      <c r="DQ17">
        <v>0</v>
      </c>
      <c r="DR17">
        <v>0</v>
      </c>
      <c r="DS17">
        <v>0</v>
      </c>
    </row>
    <row r="18" spans="1:123" x14ac:dyDescent="0.25">
      <c r="A18" t="str">
        <f>"11/29/2023 20:15:28.585"</f>
        <v>11/29/2023 20:15:28.585</v>
      </c>
      <c r="C18" t="str">
        <f t="shared" si="0"/>
        <v>FFDF53C0</v>
      </c>
      <c r="D18" t="s">
        <v>138</v>
      </c>
      <c r="E18">
        <v>3</v>
      </c>
      <c r="H18">
        <v>160</v>
      </c>
      <c r="I18" t="s">
        <v>124</v>
      </c>
      <c r="J18" t="s">
        <v>139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"20:15:28.008"</f>
        <v>20:15:28.008</v>
      </c>
      <c r="T18" t="str">
        <f>"20:15:27.908"</f>
        <v>20:15:27.908</v>
      </c>
      <c r="U18" t="str">
        <f t="shared" si="1"/>
        <v>AA0632</v>
      </c>
      <c r="V18">
        <v>0</v>
      </c>
      <c r="W18">
        <v>0</v>
      </c>
      <c r="X18">
        <v>2</v>
      </c>
      <c r="Y18">
        <v>0</v>
      </c>
      <c r="AA18">
        <v>0</v>
      </c>
      <c r="AB18">
        <v>8</v>
      </c>
      <c r="AC18">
        <v>3</v>
      </c>
      <c r="AD18">
        <v>0</v>
      </c>
      <c r="AE18">
        <v>9</v>
      </c>
      <c r="AF18" t="s">
        <v>126</v>
      </c>
      <c r="AG18">
        <v>0</v>
      </c>
      <c r="AH18">
        <v>0</v>
      </c>
      <c r="AI18">
        <v>2</v>
      </c>
      <c r="AJ18">
        <v>0</v>
      </c>
      <c r="AK18" t="s">
        <v>146</v>
      </c>
      <c r="AL18">
        <v>31.949508000000002</v>
      </c>
      <c r="AM18" t="s">
        <v>147</v>
      </c>
      <c r="AN18">
        <v>-101.112607</v>
      </c>
      <c r="AQ18" t="s">
        <v>129</v>
      </c>
      <c r="AR18">
        <v>-62</v>
      </c>
      <c r="AS18">
        <v>59</v>
      </c>
      <c r="AT18">
        <v>256</v>
      </c>
      <c r="BB18" t="str">
        <f t="shared" si="2"/>
        <v>1200</v>
      </c>
      <c r="BC18">
        <v>1</v>
      </c>
      <c r="BD18" t="str">
        <f t="shared" si="3"/>
        <v xml:space="preserve">N745MB  </v>
      </c>
      <c r="BE18">
        <v>1</v>
      </c>
      <c r="BG18">
        <v>0</v>
      </c>
      <c r="BH18">
        <v>0</v>
      </c>
      <c r="BI18">
        <v>0</v>
      </c>
      <c r="BL18" t="s">
        <v>130</v>
      </c>
      <c r="BM18">
        <v>1</v>
      </c>
      <c r="BN18">
        <v>0</v>
      </c>
      <c r="BO18">
        <v>0</v>
      </c>
      <c r="BP18">
        <v>0</v>
      </c>
      <c r="BT18">
        <v>0</v>
      </c>
      <c r="BU18">
        <v>0</v>
      </c>
      <c r="CE18" t="str">
        <f>"20:15:28.011"</f>
        <v>20:15:28.011</v>
      </c>
      <c r="CF18">
        <v>11276974</v>
      </c>
      <c r="CS18">
        <v>0</v>
      </c>
      <c r="CT18">
        <v>2</v>
      </c>
      <c r="CU18">
        <v>0</v>
      </c>
      <c r="CV18">
        <v>2</v>
      </c>
      <c r="CW18">
        <v>0</v>
      </c>
      <c r="CX18">
        <v>2</v>
      </c>
      <c r="CY18">
        <v>7</v>
      </c>
      <c r="CZ18" t="s">
        <v>131</v>
      </c>
      <c r="DA18">
        <v>116</v>
      </c>
      <c r="DB18">
        <v>3</v>
      </c>
      <c r="DC18" t="s">
        <v>132</v>
      </c>
      <c r="DD18" t="s">
        <v>133</v>
      </c>
      <c r="DG18">
        <v>8064797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1</v>
      </c>
      <c r="DQ18">
        <v>0</v>
      </c>
      <c r="DR18">
        <v>0</v>
      </c>
      <c r="DS18">
        <v>0</v>
      </c>
    </row>
    <row r="19" spans="1:123" x14ac:dyDescent="0.25">
      <c r="A19" t="str">
        <f>"11/29/2023 20:15:28.585"</f>
        <v>11/29/2023 20:15:28.585</v>
      </c>
      <c r="C19" t="str">
        <f t="shared" si="0"/>
        <v>FFDF53C0</v>
      </c>
      <c r="D19" t="s">
        <v>123</v>
      </c>
      <c r="E19">
        <v>14</v>
      </c>
      <c r="F19">
        <v>1014</v>
      </c>
      <c r="G19" t="s">
        <v>124</v>
      </c>
      <c r="J19" t="s">
        <v>125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"20:15:28.008"</f>
        <v>20:15:28.008</v>
      </c>
      <c r="T19" t="str">
        <f>"20:15:27.908"</f>
        <v>20:15:27.908</v>
      </c>
      <c r="U19" t="str">
        <f t="shared" si="1"/>
        <v>AA0632</v>
      </c>
      <c r="V19">
        <v>0</v>
      </c>
      <c r="W19">
        <v>0</v>
      </c>
      <c r="X19">
        <v>2</v>
      </c>
      <c r="Y19">
        <v>0</v>
      </c>
      <c r="AA19">
        <v>0</v>
      </c>
      <c r="AB19">
        <v>8</v>
      </c>
      <c r="AC19">
        <v>3</v>
      </c>
      <c r="AD19">
        <v>0</v>
      </c>
      <c r="AE19">
        <v>9</v>
      </c>
      <c r="AF19" t="s">
        <v>126</v>
      </c>
      <c r="AG19">
        <v>0</v>
      </c>
      <c r="AH19">
        <v>0</v>
      </c>
      <c r="AI19">
        <v>2</v>
      </c>
      <c r="AJ19">
        <v>0</v>
      </c>
      <c r="AK19" t="s">
        <v>146</v>
      </c>
      <c r="AL19">
        <v>31.949508000000002</v>
      </c>
      <c r="AM19" t="s">
        <v>147</v>
      </c>
      <c r="AN19">
        <v>-101.112607</v>
      </c>
      <c r="AQ19" t="s">
        <v>129</v>
      </c>
      <c r="AR19">
        <v>-62</v>
      </c>
      <c r="AS19">
        <v>59</v>
      </c>
      <c r="AT19">
        <v>256</v>
      </c>
      <c r="BB19" t="str">
        <f t="shared" si="2"/>
        <v>1200</v>
      </c>
      <c r="BC19">
        <v>1</v>
      </c>
      <c r="BD19" t="str">
        <f t="shared" si="3"/>
        <v xml:space="preserve">N745MB  </v>
      </c>
      <c r="BE19">
        <v>1</v>
      </c>
      <c r="BG19">
        <v>0</v>
      </c>
      <c r="BH19">
        <v>0</v>
      </c>
      <c r="BI19">
        <v>0</v>
      </c>
      <c r="BL19" t="s">
        <v>130</v>
      </c>
      <c r="BM19">
        <v>1</v>
      </c>
      <c r="BN19">
        <v>0</v>
      </c>
      <c r="BO19">
        <v>0</v>
      </c>
      <c r="BP19">
        <v>0</v>
      </c>
      <c r="BT19">
        <v>0</v>
      </c>
      <c r="BU19">
        <v>0</v>
      </c>
      <c r="CE19" t="str">
        <f>"20:15:28.011"</f>
        <v>20:15:28.011</v>
      </c>
      <c r="CF19">
        <v>11276974</v>
      </c>
      <c r="CS19">
        <v>0</v>
      </c>
      <c r="CT19">
        <v>2</v>
      </c>
      <c r="CU19">
        <v>0</v>
      </c>
      <c r="CV19">
        <v>2</v>
      </c>
      <c r="CW19">
        <v>0</v>
      </c>
      <c r="CX19">
        <v>2</v>
      </c>
      <c r="CY19">
        <v>7</v>
      </c>
      <c r="CZ19" t="s">
        <v>131</v>
      </c>
      <c r="DA19">
        <v>116</v>
      </c>
      <c r="DB19">
        <v>3</v>
      </c>
      <c r="DC19" t="s">
        <v>132</v>
      </c>
      <c r="DD19" t="s">
        <v>133</v>
      </c>
      <c r="DG19">
        <v>8064797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1</v>
      </c>
      <c r="DQ19">
        <v>0</v>
      </c>
      <c r="DR19">
        <v>0</v>
      </c>
      <c r="DS19">
        <v>0</v>
      </c>
    </row>
    <row r="20" spans="1:123" x14ac:dyDescent="0.25">
      <c r="A20" t="str">
        <f>"11/29/2023 20:15:28.585"</f>
        <v>11/29/2023 20:15:28.585</v>
      </c>
      <c r="C20" t="str">
        <f t="shared" si="0"/>
        <v>FFDF53C0</v>
      </c>
      <c r="D20" t="s">
        <v>123</v>
      </c>
      <c r="E20">
        <v>1</v>
      </c>
      <c r="F20">
        <v>1001</v>
      </c>
      <c r="G20" t="s">
        <v>134</v>
      </c>
      <c r="J20" t="s">
        <v>125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"20:15:28.008"</f>
        <v>20:15:28.008</v>
      </c>
      <c r="T20" t="str">
        <f>"20:15:27.908"</f>
        <v>20:15:27.908</v>
      </c>
      <c r="U20" t="str">
        <f t="shared" si="1"/>
        <v>AA0632</v>
      </c>
      <c r="V20">
        <v>0</v>
      </c>
      <c r="W20">
        <v>0</v>
      </c>
      <c r="X20">
        <v>2</v>
      </c>
      <c r="Y20">
        <v>0</v>
      </c>
      <c r="AA20">
        <v>0</v>
      </c>
      <c r="AB20">
        <v>8</v>
      </c>
      <c r="AC20">
        <v>3</v>
      </c>
      <c r="AD20">
        <v>0</v>
      </c>
      <c r="AE20">
        <v>9</v>
      </c>
      <c r="AF20" t="s">
        <v>126</v>
      </c>
      <c r="AG20">
        <v>0</v>
      </c>
      <c r="AH20">
        <v>0</v>
      </c>
      <c r="AI20">
        <v>2</v>
      </c>
      <c r="AJ20">
        <v>0</v>
      </c>
      <c r="AK20" t="s">
        <v>146</v>
      </c>
      <c r="AL20">
        <v>31.949508000000002</v>
      </c>
      <c r="AM20" t="s">
        <v>147</v>
      </c>
      <c r="AN20">
        <v>-101.112607</v>
      </c>
      <c r="AQ20" t="s">
        <v>129</v>
      </c>
      <c r="AR20">
        <v>-62</v>
      </c>
      <c r="AS20">
        <v>59</v>
      </c>
      <c r="AT20">
        <v>256</v>
      </c>
      <c r="BB20" t="str">
        <f t="shared" si="2"/>
        <v>1200</v>
      </c>
      <c r="BC20">
        <v>1</v>
      </c>
      <c r="BD20" t="str">
        <f t="shared" si="3"/>
        <v xml:space="preserve">N745MB  </v>
      </c>
      <c r="BE20">
        <v>1</v>
      </c>
      <c r="BG20">
        <v>0</v>
      </c>
      <c r="BH20">
        <v>0</v>
      </c>
      <c r="BI20">
        <v>0</v>
      </c>
      <c r="BL20" t="s">
        <v>130</v>
      </c>
      <c r="BM20">
        <v>1</v>
      </c>
      <c r="BN20">
        <v>0</v>
      </c>
      <c r="BO20">
        <v>0</v>
      </c>
      <c r="BP20">
        <v>0</v>
      </c>
      <c r="BT20">
        <v>0</v>
      </c>
      <c r="BU20">
        <v>0</v>
      </c>
      <c r="CE20" t="str">
        <f>"20:15:28.011"</f>
        <v>20:15:28.011</v>
      </c>
      <c r="CF20">
        <v>11276974</v>
      </c>
      <c r="CS20">
        <v>0</v>
      </c>
      <c r="CT20">
        <v>2</v>
      </c>
      <c r="CU20">
        <v>0</v>
      </c>
      <c r="CV20">
        <v>2</v>
      </c>
      <c r="CW20">
        <v>0</v>
      </c>
      <c r="CX20">
        <v>2</v>
      </c>
      <c r="CY20">
        <v>7</v>
      </c>
      <c r="CZ20" t="s">
        <v>131</v>
      </c>
      <c r="DA20">
        <v>116</v>
      </c>
      <c r="DB20">
        <v>3</v>
      </c>
      <c r="DC20" t="s">
        <v>132</v>
      </c>
      <c r="DD20" t="s">
        <v>133</v>
      </c>
      <c r="DG20">
        <v>8064797</v>
      </c>
      <c r="DI20">
        <v>0</v>
      </c>
      <c r="DJ20">
        <v>0</v>
      </c>
      <c r="DK20">
        <v>1</v>
      </c>
      <c r="DL20">
        <v>0</v>
      </c>
      <c r="DM20">
        <v>0</v>
      </c>
      <c r="DN20">
        <v>0</v>
      </c>
      <c r="DO20">
        <v>0</v>
      </c>
      <c r="DP20">
        <v>1</v>
      </c>
      <c r="DQ20">
        <v>0</v>
      </c>
      <c r="DR20">
        <v>0</v>
      </c>
      <c r="DS20">
        <v>0</v>
      </c>
    </row>
    <row r="21" spans="1:123" x14ac:dyDescent="0.25">
      <c r="A21" t="str">
        <f>"11/29/2023 20:15:28.585"</f>
        <v>11/29/2023 20:15:28.585</v>
      </c>
      <c r="C21" t="str">
        <f t="shared" si="0"/>
        <v>FFDF53C0</v>
      </c>
      <c r="D21" t="s">
        <v>135</v>
      </c>
      <c r="E21">
        <v>31</v>
      </c>
      <c r="H21">
        <v>285</v>
      </c>
      <c r="I21" t="s">
        <v>136</v>
      </c>
      <c r="J21" t="s">
        <v>137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"20:15:28.008"</f>
        <v>20:15:28.008</v>
      </c>
      <c r="T21" t="str">
        <f>"20:15:27.908"</f>
        <v>20:15:27.908</v>
      </c>
      <c r="U21" t="str">
        <f t="shared" si="1"/>
        <v>AA0632</v>
      </c>
      <c r="V21">
        <v>0</v>
      </c>
      <c r="W21">
        <v>0</v>
      </c>
      <c r="X21">
        <v>2</v>
      </c>
      <c r="Y21">
        <v>0</v>
      </c>
      <c r="AA21">
        <v>0</v>
      </c>
      <c r="AB21">
        <v>8</v>
      </c>
      <c r="AC21">
        <v>3</v>
      </c>
      <c r="AD21">
        <v>0</v>
      </c>
      <c r="AE21">
        <v>9</v>
      </c>
      <c r="AF21" t="s">
        <v>126</v>
      </c>
      <c r="AG21">
        <v>0</v>
      </c>
      <c r="AH21">
        <v>0</v>
      </c>
      <c r="AI21">
        <v>2</v>
      </c>
      <c r="AJ21">
        <v>0</v>
      </c>
      <c r="AK21" t="s">
        <v>146</v>
      </c>
      <c r="AL21">
        <v>31.949508000000002</v>
      </c>
      <c r="AM21" t="s">
        <v>147</v>
      </c>
      <c r="AN21">
        <v>-101.112607</v>
      </c>
      <c r="AQ21" t="s">
        <v>129</v>
      </c>
      <c r="AR21">
        <v>-62</v>
      </c>
      <c r="AS21">
        <v>59</v>
      </c>
      <c r="AT21">
        <v>256</v>
      </c>
      <c r="BB21" t="str">
        <f t="shared" si="2"/>
        <v>1200</v>
      </c>
      <c r="BC21">
        <v>1</v>
      </c>
      <c r="BD21" t="str">
        <f t="shared" si="3"/>
        <v xml:space="preserve">N745MB  </v>
      </c>
      <c r="BE21">
        <v>1</v>
      </c>
      <c r="BG21">
        <v>0</v>
      </c>
      <c r="BH21">
        <v>0</v>
      </c>
      <c r="BI21">
        <v>0</v>
      </c>
      <c r="BL21" t="s">
        <v>130</v>
      </c>
      <c r="BM21">
        <v>1</v>
      </c>
      <c r="BN21">
        <v>0</v>
      </c>
      <c r="BO21">
        <v>0</v>
      </c>
      <c r="BP21">
        <v>0</v>
      </c>
      <c r="BT21">
        <v>0</v>
      </c>
      <c r="BU21">
        <v>0</v>
      </c>
      <c r="CE21" t="str">
        <f>"20:15:28.011"</f>
        <v>20:15:28.011</v>
      </c>
      <c r="CF21">
        <v>11276974</v>
      </c>
      <c r="CS21">
        <v>0</v>
      </c>
      <c r="CT21">
        <v>2</v>
      </c>
      <c r="CU21">
        <v>0</v>
      </c>
      <c r="CV21">
        <v>2</v>
      </c>
      <c r="CW21">
        <v>0</v>
      </c>
      <c r="CX21">
        <v>2</v>
      </c>
      <c r="CY21">
        <v>7</v>
      </c>
      <c r="CZ21" t="s">
        <v>131</v>
      </c>
      <c r="DA21">
        <v>116</v>
      </c>
      <c r="DB21">
        <v>3</v>
      </c>
      <c r="DC21" t="s">
        <v>132</v>
      </c>
      <c r="DD21" t="s">
        <v>133</v>
      </c>
      <c r="DG21">
        <v>8064797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0</v>
      </c>
      <c r="DO21">
        <v>0</v>
      </c>
      <c r="DP21">
        <v>1</v>
      </c>
      <c r="DQ21">
        <v>0</v>
      </c>
      <c r="DR21">
        <v>0</v>
      </c>
      <c r="DS21">
        <v>0</v>
      </c>
    </row>
    <row r="22" spans="1:123" x14ac:dyDescent="0.25">
      <c r="A22" t="str">
        <f>"11/29/2023 20:15:29.366"</f>
        <v>11/29/2023 20:15:29.366</v>
      </c>
      <c r="C22" t="str">
        <f t="shared" si="0"/>
        <v>FFDF53C0</v>
      </c>
      <c r="D22" t="s">
        <v>138</v>
      </c>
      <c r="E22">
        <v>3</v>
      </c>
      <c r="H22">
        <v>160</v>
      </c>
      <c r="I22" t="s">
        <v>124</v>
      </c>
      <c r="J22" t="s">
        <v>139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"20:15:28.984"</f>
        <v>20:15:28.984</v>
      </c>
      <c r="T22" t="str">
        <f>"20:15:28.884"</f>
        <v>20:15:28.884</v>
      </c>
      <c r="U22" t="str">
        <f t="shared" si="1"/>
        <v>AA0632</v>
      </c>
      <c r="V22">
        <v>0</v>
      </c>
      <c r="W22">
        <v>0</v>
      </c>
      <c r="X22">
        <v>2</v>
      </c>
      <c r="Y22">
        <v>0</v>
      </c>
      <c r="AA22">
        <v>0</v>
      </c>
      <c r="AB22">
        <v>8</v>
      </c>
      <c r="AC22">
        <v>3</v>
      </c>
      <c r="AD22">
        <v>0</v>
      </c>
      <c r="AE22">
        <v>9</v>
      </c>
      <c r="AF22" t="s">
        <v>126</v>
      </c>
      <c r="AG22">
        <v>0</v>
      </c>
      <c r="AH22">
        <v>0</v>
      </c>
      <c r="AI22">
        <v>2</v>
      </c>
      <c r="AJ22">
        <v>0</v>
      </c>
      <c r="AK22" t="s">
        <v>148</v>
      </c>
      <c r="AL22">
        <v>31.949722999999999</v>
      </c>
      <c r="AM22" t="s">
        <v>149</v>
      </c>
      <c r="AN22">
        <v>-101.11288500000001</v>
      </c>
      <c r="AQ22" t="s">
        <v>129</v>
      </c>
      <c r="AR22">
        <v>-62</v>
      </c>
      <c r="AS22">
        <v>59</v>
      </c>
      <c r="AT22">
        <v>256</v>
      </c>
      <c r="BB22" t="str">
        <f t="shared" si="2"/>
        <v>1200</v>
      </c>
      <c r="BC22">
        <v>1</v>
      </c>
      <c r="BD22" t="str">
        <f t="shared" si="3"/>
        <v xml:space="preserve">N745MB  </v>
      </c>
      <c r="BE22">
        <v>1</v>
      </c>
      <c r="BG22">
        <v>0</v>
      </c>
      <c r="BH22">
        <v>0</v>
      </c>
      <c r="BI22">
        <v>0</v>
      </c>
      <c r="BL22" t="s">
        <v>130</v>
      </c>
      <c r="BM22">
        <v>1</v>
      </c>
      <c r="BN22">
        <v>0</v>
      </c>
      <c r="BO22">
        <v>0</v>
      </c>
      <c r="BP22">
        <v>0</v>
      </c>
      <c r="BT22">
        <v>0</v>
      </c>
      <c r="BU22">
        <v>0</v>
      </c>
      <c r="CE22" t="str">
        <f>"20:15:28.991"</f>
        <v>20:15:28.991</v>
      </c>
      <c r="CF22">
        <v>991210934</v>
      </c>
      <c r="CS22">
        <v>0</v>
      </c>
      <c r="CT22">
        <v>2</v>
      </c>
      <c r="CU22">
        <v>0</v>
      </c>
      <c r="CV22">
        <v>2</v>
      </c>
      <c r="CW22">
        <v>0</v>
      </c>
      <c r="CX22">
        <v>2</v>
      </c>
      <c r="CY22">
        <v>7</v>
      </c>
      <c r="CZ22" t="s">
        <v>131</v>
      </c>
      <c r="DA22">
        <v>116</v>
      </c>
      <c r="DB22">
        <v>3</v>
      </c>
      <c r="DC22" t="s">
        <v>132</v>
      </c>
      <c r="DD22" t="s">
        <v>133</v>
      </c>
      <c r="DG22">
        <v>8065345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1</v>
      </c>
      <c r="DQ22">
        <v>0</v>
      </c>
      <c r="DR22">
        <v>0</v>
      </c>
      <c r="DS22">
        <v>0</v>
      </c>
    </row>
    <row r="23" spans="1:123" x14ac:dyDescent="0.25">
      <c r="A23" t="str">
        <f>"11/29/2023 20:15:29.366"</f>
        <v>11/29/2023 20:15:29.366</v>
      </c>
      <c r="C23" t="str">
        <f t="shared" si="0"/>
        <v>FFDF53C0</v>
      </c>
      <c r="D23" t="s">
        <v>123</v>
      </c>
      <c r="E23">
        <v>14</v>
      </c>
      <c r="F23">
        <v>1014</v>
      </c>
      <c r="G23" t="s">
        <v>124</v>
      </c>
      <c r="J23" t="s">
        <v>125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"20:15:28.984"</f>
        <v>20:15:28.984</v>
      </c>
      <c r="T23" t="str">
        <f>"20:15:28.884"</f>
        <v>20:15:28.884</v>
      </c>
      <c r="U23" t="str">
        <f t="shared" si="1"/>
        <v>AA0632</v>
      </c>
      <c r="V23">
        <v>0</v>
      </c>
      <c r="W23">
        <v>0</v>
      </c>
      <c r="X23">
        <v>2</v>
      </c>
      <c r="Y23">
        <v>0</v>
      </c>
      <c r="AA23">
        <v>0</v>
      </c>
      <c r="AB23">
        <v>8</v>
      </c>
      <c r="AC23">
        <v>3</v>
      </c>
      <c r="AD23">
        <v>0</v>
      </c>
      <c r="AE23">
        <v>9</v>
      </c>
      <c r="AF23" t="s">
        <v>126</v>
      </c>
      <c r="AG23">
        <v>0</v>
      </c>
      <c r="AH23">
        <v>0</v>
      </c>
      <c r="AI23">
        <v>2</v>
      </c>
      <c r="AJ23">
        <v>0</v>
      </c>
      <c r="AK23" t="s">
        <v>148</v>
      </c>
      <c r="AL23">
        <v>31.949722999999999</v>
      </c>
      <c r="AM23" t="s">
        <v>149</v>
      </c>
      <c r="AN23">
        <v>-101.11288500000001</v>
      </c>
      <c r="AQ23" t="s">
        <v>129</v>
      </c>
      <c r="AR23">
        <v>-62</v>
      </c>
      <c r="AS23">
        <v>59</v>
      </c>
      <c r="AT23">
        <v>256</v>
      </c>
      <c r="BB23" t="str">
        <f t="shared" si="2"/>
        <v>1200</v>
      </c>
      <c r="BC23">
        <v>1</v>
      </c>
      <c r="BD23" t="str">
        <f t="shared" si="3"/>
        <v xml:space="preserve">N745MB  </v>
      </c>
      <c r="BE23">
        <v>1</v>
      </c>
      <c r="BG23">
        <v>0</v>
      </c>
      <c r="BH23">
        <v>0</v>
      </c>
      <c r="BI23">
        <v>0</v>
      </c>
      <c r="BL23" t="s">
        <v>130</v>
      </c>
      <c r="BM23">
        <v>1</v>
      </c>
      <c r="BN23">
        <v>0</v>
      </c>
      <c r="BO23">
        <v>0</v>
      </c>
      <c r="BP23">
        <v>0</v>
      </c>
      <c r="BT23">
        <v>0</v>
      </c>
      <c r="BU23">
        <v>0</v>
      </c>
      <c r="CE23" t="str">
        <f>"20:15:28.991"</f>
        <v>20:15:28.991</v>
      </c>
      <c r="CF23">
        <v>991210934</v>
      </c>
      <c r="CS23">
        <v>0</v>
      </c>
      <c r="CT23">
        <v>2</v>
      </c>
      <c r="CU23">
        <v>0</v>
      </c>
      <c r="CV23">
        <v>2</v>
      </c>
      <c r="CW23">
        <v>0</v>
      </c>
      <c r="CX23">
        <v>2</v>
      </c>
      <c r="CY23">
        <v>7</v>
      </c>
      <c r="CZ23" t="s">
        <v>131</v>
      </c>
      <c r="DA23">
        <v>116</v>
      </c>
      <c r="DB23">
        <v>3</v>
      </c>
      <c r="DC23" t="s">
        <v>132</v>
      </c>
      <c r="DD23" t="s">
        <v>133</v>
      </c>
      <c r="DG23">
        <v>8065345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0</v>
      </c>
      <c r="DO23">
        <v>0</v>
      </c>
      <c r="DP23">
        <v>1</v>
      </c>
      <c r="DQ23">
        <v>0</v>
      </c>
      <c r="DR23">
        <v>0</v>
      </c>
      <c r="DS23">
        <v>0</v>
      </c>
    </row>
    <row r="24" spans="1:123" x14ac:dyDescent="0.25">
      <c r="A24" t="str">
        <f>"11/29/2023 20:15:29.366"</f>
        <v>11/29/2023 20:15:29.366</v>
      </c>
      <c r="C24" t="str">
        <f t="shared" si="0"/>
        <v>FFDF53C0</v>
      </c>
      <c r="D24" t="s">
        <v>123</v>
      </c>
      <c r="E24">
        <v>1</v>
      </c>
      <c r="F24">
        <v>1001</v>
      </c>
      <c r="G24" t="s">
        <v>134</v>
      </c>
      <c r="J24" t="s">
        <v>125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"20:15:28.984"</f>
        <v>20:15:28.984</v>
      </c>
      <c r="T24" t="str">
        <f>"20:15:28.884"</f>
        <v>20:15:28.884</v>
      </c>
      <c r="U24" t="str">
        <f t="shared" si="1"/>
        <v>AA0632</v>
      </c>
      <c r="V24">
        <v>0</v>
      </c>
      <c r="W24">
        <v>0</v>
      </c>
      <c r="X24">
        <v>2</v>
      </c>
      <c r="Y24">
        <v>0</v>
      </c>
      <c r="AA24">
        <v>0</v>
      </c>
      <c r="AB24">
        <v>8</v>
      </c>
      <c r="AC24">
        <v>3</v>
      </c>
      <c r="AD24">
        <v>0</v>
      </c>
      <c r="AE24">
        <v>9</v>
      </c>
      <c r="AF24" t="s">
        <v>126</v>
      </c>
      <c r="AG24">
        <v>0</v>
      </c>
      <c r="AH24">
        <v>0</v>
      </c>
      <c r="AI24">
        <v>2</v>
      </c>
      <c r="AJ24">
        <v>0</v>
      </c>
      <c r="AK24" t="s">
        <v>148</v>
      </c>
      <c r="AL24">
        <v>31.949722999999999</v>
      </c>
      <c r="AM24" t="s">
        <v>149</v>
      </c>
      <c r="AN24">
        <v>-101.11288500000001</v>
      </c>
      <c r="AQ24" t="s">
        <v>129</v>
      </c>
      <c r="AR24">
        <v>-62</v>
      </c>
      <c r="AS24">
        <v>59</v>
      </c>
      <c r="AT24">
        <v>256</v>
      </c>
      <c r="BB24" t="str">
        <f t="shared" si="2"/>
        <v>1200</v>
      </c>
      <c r="BC24">
        <v>1</v>
      </c>
      <c r="BD24" t="str">
        <f t="shared" si="3"/>
        <v xml:space="preserve">N745MB  </v>
      </c>
      <c r="BE24">
        <v>1</v>
      </c>
      <c r="BG24">
        <v>0</v>
      </c>
      <c r="BH24">
        <v>0</v>
      </c>
      <c r="BI24">
        <v>0</v>
      </c>
      <c r="BL24" t="s">
        <v>130</v>
      </c>
      <c r="BM24">
        <v>1</v>
      </c>
      <c r="BN24">
        <v>0</v>
      </c>
      <c r="BO24">
        <v>0</v>
      </c>
      <c r="BP24">
        <v>0</v>
      </c>
      <c r="BT24">
        <v>0</v>
      </c>
      <c r="BU24">
        <v>0</v>
      </c>
      <c r="CE24" t="str">
        <f>"20:15:28.991"</f>
        <v>20:15:28.991</v>
      </c>
      <c r="CF24">
        <v>991210934</v>
      </c>
      <c r="CS24">
        <v>0</v>
      </c>
      <c r="CT24">
        <v>2</v>
      </c>
      <c r="CU24">
        <v>0</v>
      </c>
      <c r="CV24">
        <v>2</v>
      </c>
      <c r="CW24">
        <v>0</v>
      </c>
      <c r="CX24">
        <v>2</v>
      </c>
      <c r="CY24">
        <v>7</v>
      </c>
      <c r="CZ24" t="s">
        <v>131</v>
      </c>
      <c r="DA24">
        <v>116</v>
      </c>
      <c r="DB24">
        <v>3</v>
      </c>
      <c r="DC24" t="s">
        <v>132</v>
      </c>
      <c r="DD24" t="s">
        <v>133</v>
      </c>
      <c r="DG24">
        <v>8065345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0</v>
      </c>
      <c r="DO24">
        <v>0</v>
      </c>
      <c r="DP24">
        <v>1</v>
      </c>
      <c r="DQ24">
        <v>0</v>
      </c>
      <c r="DR24">
        <v>0</v>
      </c>
      <c r="DS24">
        <v>0</v>
      </c>
    </row>
    <row r="25" spans="1:123" x14ac:dyDescent="0.25">
      <c r="A25" t="str">
        <f>"11/29/2023 20:15:29.397"</f>
        <v>11/29/2023 20:15:29.397</v>
      </c>
      <c r="C25" t="str">
        <f t="shared" si="0"/>
        <v>FFDF53C0</v>
      </c>
      <c r="D25" t="s">
        <v>135</v>
      </c>
      <c r="E25">
        <v>31</v>
      </c>
      <c r="H25">
        <v>285</v>
      </c>
      <c r="I25" t="s">
        <v>136</v>
      </c>
      <c r="J25" t="s">
        <v>137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"20:15:28.984"</f>
        <v>20:15:28.984</v>
      </c>
      <c r="T25" t="str">
        <f>"20:15:28.884"</f>
        <v>20:15:28.884</v>
      </c>
      <c r="U25" t="str">
        <f t="shared" si="1"/>
        <v>AA0632</v>
      </c>
      <c r="V25">
        <v>0</v>
      </c>
      <c r="W25">
        <v>0</v>
      </c>
      <c r="X25">
        <v>2</v>
      </c>
      <c r="Y25">
        <v>0</v>
      </c>
      <c r="AA25">
        <v>0</v>
      </c>
      <c r="AB25">
        <v>8</v>
      </c>
      <c r="AC25">
        <v>3</v>
      </c>
      <c r="AD25">
        <v>0</v>
      </c>
      <c r="AE25">
        <v>9</v>
      </c>
      <c r="AF25" t="s">
        <v>126</v>
      </c>
      <c r="AG25">
        <v>0</v>
      </c>
      <c r="AH25">
        <v>0</v>
      </c>
      <c r="AI25">
        <v>2</v>
      </c>
      <c r="AJ25">
        <v>0</v>
      </c>
      <c r="AK25" t="s">
        <v>148</v>
      </c>
      <c r="AL25">
        <v>31.949722999999999</v>
      </c>
      <c r="AM25" t="s">
        <v>149</v>
      </c>
      <c r="AN25">
        <v>-101.11288500000001</v>
      </c>
      <c r="AQ25" t="s">
        <v>129</v>
      </c>
      <c r="AR25">
        <v>-62</v>
      </c>
      <c r="AS25">
        <v>59</v>
      </c>
      <c r="AT25">
        <v>256</v>
      </c>
      <c r="BB25" t="str">
        <f t="shared" si="2"/>
        <v>1200</v>
      </c>
      <c r="BC25">
        <v>1</v>
      </c>
      <c r="BD25" t="str">
        <f t="shared" si="3"/>
        <v xml:space="preserve">N745MB  </v>
      </c>
      <c r="BE25">
        <v>1</v>
      </c>
      <c r="BG25">
        <v>0</v>
      </c>
      <c r="BH25">
        <v>0</v>
      </c>
      <c r="BI25">
        <v>0</v>
      </c>
      <c r="BL25" t="s">
        <v>130</v>
      </c>
      <c r="BM25">
        <v>1</v>
      </c>
      <c r="BN25">
        <v>0</v>
      </c>
      <c r="BO25">
        <v>0</v>
      </c>
      <c r="BP25">
        <v>0</v>
      </c>
      <c r="BT25">
        <v>0</v>
      </c>
      <c r="BU25">
        <v>0</v>
      </c>
      <c r="CE25" t="str">
        <f>"20:15:28.991"</f>
        <v>20:15:28.991</v>
      </c>
      <c r="CF25">
        <v>991210934</v>
      </c>
      <c r="CS25">
        <v>0</v>
      </c>
      <c r="CT25">
        <v>2</v>
      </c>
      <c r="CU25">
        <v>0</v>
      </c>
      <c r="CV25">
        <v>2</v>
      </c>
      <c r="CW25">
        <v>0</v>
      </c>
      <c r="CX25">
        <v>2</v>
      </c>
      <c r="CY25">
        <v>7</v>
      </c>
      <c r="CZ25" t="s">
        <v>131</v>
      </c>
      <c r="DA25">
        <v>116</v>
      </c>
      <c r="DB25">
        <v>3</v>
      </c>
      <c r="DC25" t="s">
        <v>132</v>
      </c>
      <c r="DD25" t="s">
        <v>133</v>
      </c>
      <c r="DG25">
        <v>8065345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0</v>
      </c>
      <c r="DO25">
        <v>0</v>
      </c>
      <c r="DP25">
        <v>1</v>
      </c>
      <c r="DQ25">
        <v>0</v>
      </c>
      <c r="DR25">
        <v>0</v>
      </c>
      <c r="DS25">
        <v>0</v>
      </c>
    </row>
    <row r="26" spans="1:123" x14ac:dyDescent="0.25">
      <c r="A26" t="str">
        <f>"11/29/2023 20:15:30.726"</f>
        <v>11/29/2023 20:15:30.726</v>
      </c>
      <c r="C26" t="str">
        <f t="shared" si="0"/>
        <v>FFDF53C0</v>
      </c>
      <c r="D26" t="s">
        <v>123</v>
      </c>
      <c r="E26">
        <v>1</v>
      </c>
      <c r="F26">
        <v>1001</v>
      </c>
      <c r="G26" t="s">
        <v>134</v>
      </c>
      <c r="J26" t="s">
        <v>125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"20:15:30.383"</f>
        <v>20:15:30.383</v>
      </c>
      <c r="T26" t="str">
        <f>"20:15:30.283"</f>
        <v>20:15:30.283</v>
      </c>
      <c r="U26" t="str">
        <f t="shared" si="1"/>
        <v>AA0632</v>
      </c>
      <c r="V26">
        <v>0</v>
      </c>
      <c r="W26">
        <v>0</v>
      </c>
      <c r="X26">
        <v>2</v>
      </c>
      <c r="Y26">
        <v>0</v>
      </c>
      <c r="AA26">
        <v>0</v>
      </c>
      <c r="AB26">
        <v>8</v>
      </c>
      <c r="AC26">
        <v>3</v>
      </c>
      <c r="AD26">
        <v>0</v>
      </c>
      <c r="AE26">
        <v>9</v>
      </c>
      <c r="AF26" t="s">
        <v>126</v>
      </c>
      <c r="AG26">
        <v>0</v>
      </c>
      <c r="AH26">
        <v>0</v>
      </c>
      <c r="AI26">
        <v>2</v>
      </c>
      <c r="AJ26">
        <v>0</v>
      </c>
      <c r="AK26" t="s">
        <v>150</v>
      </c>
      <c r="AL26">
        <v>31.950151999999999</v>
      </c>
      <c r="AM26" t="s">
        <v>151</v>
      </c>
      <c r="AN26">
        <v>-101.1134</v>
      </c>
      <c r="AQ26" t="s">
        <v>129</v>
      </c>
      <c r="AR26">
        <v>-63</v>
      </c>
      <c r="AS26">
        <v>61</v>
      </c>
      <c r="AT26">
        <v>320</v>
      </c>
      <c r="BB26" t="str">
        <f t="shared" si="2"/>
        <v>1200</v>
      </c>
      <c r="BC26">
        <v>1</v>
      </c>
      <c r="BD26" t="str">
        <f t="shared" si="3"/>
        <v xml:space="preserve">N745MB  </v>
      </c>
      <c r="BE26">
        <v>1</v>
      </c>
      <c r="BG26">
        <v>0</v>
      </c>
      <c r="BH26">
        <v>0</v>
      </c>
      <c r="BI26">
        <v>0</v>
      </c>
      <c r="BL26" t="s">
        <v>130</v>
      </c>
      <c r="BM26">
        <v>1</v>
      </c>
      <c r="BN26">
        <v>0</v>
      </c>
      <c r="BO26">
        <v>0</v>
      </c>
      <c r="BP26">
        <v>0</v>
      </c>
      <c r="BT26">
        <v>0</v>
      </c>
      <c r="BU26">
        <v>0</v>
      </c>
      <c r="CE26" t="str">
        <f>"20:15:30.385"</f>
        <v>20:15:30.385</v>
      </c>
      <c r="CF26">
        <v>385114502</v>
      </c>
      <c r="CS26">
        <v>0</v>
      </c>
      <c r="CT26">
        <v>2</v>
      </c>
      <c r="CU26">
        <v>0</v>
      </c>
      <c r="CV26">
        <v>2</v>
      </c>
      <c r="CW26">
        <v>0</v>
      </c>
      <c r="CX26">
        <v>2</v>
      </c>
      <c r="CY26">
        <v>7</v>
      </c>
      <c r="CZ26" t="s">
        <v>131</v>
      </c>
      <c r="DA26">
        <v>116</v>
      </c>
      <c r="DB26">
        <v>3</v>
      </c>
      <c r="DC26" t="s">
        <v>132</v>
      </c>
      <c r="DD26" t="s">
        <v>133</v>
      </c>
      <c r="DG26">
        <v>8066120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1</v>
      </c>
      <c r="DQ26">
        <v>0</v>
      </c>
      <c r="DR26">
        <v>0</v>
      </c>
      <c r="DS26">
        <v>0</v>
      </c>
    </row>
    <row r="27" spans="1:123" x14ac:dyDescent="0.25">
      <c r="A27" t="str">
        <f>"11/29/2023 20:15:30.726"</f>
        <v>11/29/2023 20:15:30.726</v>
      </c>
      <c r="C27" t="str">
        <f t="shared" si="0"/>
        <v>FFDF53C0</v>
      </c>
      <c r="D27" t="s">
        <v>135</v>
      </c>
      <c r="E27">
        <v>31</v>
      </c>
      <c r="H27">
        <v>285</v>
      </c>
      <c r="I27" t="s">
        <v>136</v>
      </c>
      <c r="J27" t="s">
        <v>137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"20:15:30.383"</f>
        <v>20:15:30.383</v>
      </c>
      <c r="T27" t="str">
        <f>"20:15:30.283"</f>
        <v>20:15:30.283</v>
      </c>
      <c r="U27" t="str">
        <f t="shared" si="1"/>
        <v>AA0632</v>
      </c>
      <c r="V27">
        <v>0</v>
      </c>
      <c r="W27">
        <v>0</v>
      </c>
      <c r="X27">
        <v>2</v>
      </c>
      <c r="Y27">
        <v>0</v>
      </c>
      <c r="AA27">
        <v>0</v>
      </c>
      <c r="AB27">
        <v>8</v>
      </c>
      <c r="AC27">
        <v>3</v>
      </c>
      <c r="AD27">
        <v>0</v>
      </c>
      <c r="AE27">
        <v>9</v>
      </c>
      <c r="AF27" t="s">
        <v>126</v>
      </c>
      <c r="AG27">
        <v>0</v>
      </c>
      <c r="AH27">
        <v>0</v>
      </c>
      <c r="AI27">
        <v>2</v>
      </c>
      <c r="AJ27">
        <v>0</v>
      </c>
      <c r="AK27" t="s">
        <v>150</v>
      </c>
      <c r="AL27">
        <v>31.950151999999999</v>
      </c>
      <c r="AM27" t="s">
        <v>151</v>
      </c>
      <c r="AN27">
        <v>-101.1134</v>
      </c>
      <c r="AQ27" t="s">
        <v>129</v>
      </c>
      <c r="AR27">
        <v>-63</v>
      </c>
      <c r="AS27">
        <v>61</v>
      </c>
      <c r="AT27">
        <v>320</v>
      </c>
      <c r="BB27" t="str">
        <f t="shared" si="2"/>
        <v>1200</v>
      </c>
      <c r="BC27">
        <v>1</v>
      </c>
      <c r="BD27" t="str">
        <f t="shared" si="3"/>
        <v xml:space="preserve">N745MB  </v>
      </c>
      <c r="BE27">
        <v>1</v>
      </c>
      <c r="BG27">
        <v>0</v>
      </c>
      <c r="BH27">
        <v>0</v>
      </c>
      <c r="BI27">
        <v>0</v>
      </c>
      <c r="BL27" t="s">
        <v>130</v>
      </c>
      <c r="BM27">
        <v>1</v>
      </c>
      <c r="BN27">
        <v>0</v>
      </c>
      <c r="BO27">
        <v>0</v>
      </c>
      <c r="BP27">
        <v>0</v>
      </c>
      <c r="BT27">
        <v>0</v>
      </c>
      <c r="BU27">
        <v>0</v>
      </c>
      <c r="CE27" t="str">
        <f>"20:15:30.385"</f>
        <v>20:15:30.385</v>
      </c>
      <c r="CF27">
        <v>385114502</v>
      </c>
      <c r="CS27">
        <v>0</v>
      </c>
      <c r="CT27">
        <v>2</v>
      </c>
      <c r="CU27">
        <v>0</v>
      </c>
      <c r="CV27">
        <v>2</v>
      </c>
      <c r="CW27">
        <v>0</v>
      </c>
      <c r="CX27">
        <v>2</v>
      </c>
      <c r="CY27">
        <v>7</v>
      </c>
      <c r="CZ27" t="s">
        <v>131</v>
      </c>
      <c r="DA27">
        <v>116</v>
      </c>
      <c r="DB27">
        <v>3</v>
      </c>
      <c r="DC27" t="s">
        <v>132</v>
      </c>
      <c r="DD27" t="s">
        <v>133</v>
      </c>
      <c r="DG27">
        <v>8066120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0</v>
      </c>
      <c r="DO27">
        <v>0</v>
      </c>
      <c r="DP27">
        <v>1</v>
      </c>
      <c r="DQ27">
        <v>0</v>
      </c>
      <c r="DR27">
        <v>0</v>
      </c>
      <c r="DS27">
        <v>0</v>
      </c>
    </row>
    <row r="28" spans="1:123" x14ac:dyDescent="0.25">
      <c r="A28" t="str">
        <f>"11/29/2023 20:15:30.788"</f>
        <v>11/29/2023 20:15:30.788</v>
      </c>
      <c r="C28" t="str">
        <f t="shared" si="0"/>
        <v>FFDF53C0</v>
      </c>
      <c r="D28" t="s">
        <v>138</v>
      </c>
      <c r="E28">
        <v>3</v>
      </c>
      <c r="H28">
        <v>160</v>
      </c>
      <c r="I28" t="s">
        <v>124</v>
      </c>
      <c r="J28" t="s">
        <v>139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"20:15:30.383"</f>
        <v>20:15:30.383</v>
      </c>
      <c r="T28" t="str">
        <f>"20:15:30.283"</f>
        <v>20:15:30.283</v>
      </c>
      <c r="U28" t="str">
        <f t="shared" si="1"/>
        <v>AA0632</v>
      </c>
      <c r="V28">
        <v>0</v>
      </c>
      <c r="W28">
        <v>0</v>
      </c>
      <c r="X28">
        <v>2</v>
      </c>
      <c r="Y28">
        <v>0</v>
      </c>
      <c r="AA28">
        <v>0</v>
      </c>
      <c r="AB28">
        <v>8</v>
      </c>
      <c r="AC28">
        <v>3</v>
      </c>
      <c r="AD28">
        <v>0</v>
      </c>
      <c r="AE28">
        <v>9</v>
      </c>
      <c r="AF28" t="s">
        <v>126</v>
      </c>
      <c r="AG28">
        <v>0</v>
      </c>
      <c r="AH28">
        <v>0</v>
      </c>
      <c r="AI28">
        <v>2</v>
      </c>
      <c r="AJ28">
        <v>0</v>
      </c>
      <c r="AK28" t="s">
        <v>150</v>
      </c>
      <c r="AL28">
        <v>31.950151999999999</v>
      </c>
      <c r="AM28" t="s">
        <v>151</v>
      </c>
      <c r="AN28">
        <v>-101.1134</v>
      </c>
      <c r="AQ28" t="s">
        <v>129</v>
      </c>
      <c r="AR28">
        <v>-63</v>
      </c>
      <c r="AS28">
        <v>61</v>
      </c>
      <c r="AT28">
        <v>320</v>
      </c>
      <c r="BB28" t="str">
        <f t="shared" si="2"/>
        <v>1200</v>
      </c>
      <c r="BC28">
        <v>1</v>
      </c>
      <c r="BD28" t="str">
        <f t="shared" si="3"/>
        <v xml:space="preserve">N745MB  </v>
      </c>
      <c r="BE28">
        <v>1</v>
      </c>
      <c r="BG28">
        <v>0</v>
      </c>
      <c r="BH28">
        <v>0</v>
      </c>
      <c r="BI28">
        <v>0</v>
      </c>
      <c r="BL28" t="s">
        <v>130</v>
      </c>
      <c r="BM28">
        <v>1</v>
      </c>
      <c r="BN28">
        <v>0</v>
      </c>
      <c r="BO28">
        <v>0</v>
      </c>
      <c r="BP28">
        <v>0</v>
      </c>
      <c r="BT28">
        <v>0</v>
      </c>
      <c r="BU28">
        <v>0</v>
      </c>
      <c r="CE28" t="str">
        <f>"20:15:30.385"</f>
        <v>20:15:30.385</v>
      </c>
      <c r="CF28">
        <v>385114502</v>
      </c>
      <c r="CS28">
        <v>0</v>
      </c>
      <c r="CT28">
        <v>2</v>
      </c>
      <c r="CU28">
        <v>0</v>
      </c>
      <c r="CV28">
        <v>2</v>
      </c>
      <c r="CW28">
        <v>0</v>
      </c>
      <c r="CX28">
        <v>2</v>
      </c>
      <c r="CY28">
        <v>7</v>
      </c>
      <c r="CZ28" t="s">
        <v>131</v>
      </c>
      <c r="DA28">
        <v>116</v>
      </c>
      <c r="DB28">
        <v>3</v>
      </c>
      <c r="DC28" t="s">
        <v>132</v>
      </c>
      <c r="DD28" t="s">
        <v>133</v>
      </c>
      <c r="DG28">
        <v>8066120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1</v>
      </c>
      <c r="DQ28">
        <v>0</v>
      </c>
      <c r="DR28">
        <v>0</v>
      </c>
      <c r="DS28">
        <v>0</v>
      </c>
    </row>
    <row r="29" spans="1:123" x14ac:dyDescent="0.25">
      <c r="A29" t="str">
        <f>"11/29/2023 20:15:30.788"</f>
        <v>11/29/2023 20:15:30.788</v>
      </c>
      <c r="C29" t="str">
        <f t="shared" si="0"/>
        <v>FFDF53C0</v>
      </c>
      <c r="D29" t="s">
        <v>123</v>
      </c>
      <c r="E29">
        <v>14</v>
      </c>
      <c r="F29">
        <v>1014</v>
      </c>
      <c r="G29" t="s">
        <v>124</v>
      </c>
      <c r="J29" t="s">
        <v>125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"20:15:30.383"</f>
        <v>20:15:30.383</v>
      </c>
      <c r="T29" t="str">
        <f>"20:15:30.283"</f>
        <v>20:15:30.283</v>
      </c>
      <c r="U29" t="str">
        <f t="shared" si="1"/>
        <v>AA0632</v>
      </c>
      <c r="V29">
        <v>0</v>
      </c>
      <c r="W29">
        <v>0</v>
      </c>
      <c r="X29">
        <v>2</v>
      </c>
      <c r="Y29">
        <v>0</v>
      </c>
      <c r="AA29">
        <v>0</v>
      </c>
      <c r="AB29">
        <v>8</v>
      </c>
      <c r="AC29">
        <v>3</v>
      </c>
      <c r="AD29">
        <v>0</v>
      </c>
      <c r="AE29">
        <v>9</v>
      </c>
      <c r="AF29" t="s">
        <v>126</v>
      </c>
      <c r="AG29">
        <v>0</v>
      </c>
      <c r="AH29">
        <v>0</v>
      </c>
      <c r="AI29">
        <v>2</v>
      </c>
      <c r="AJ29">
        <v>0</v>
      </c>
      <c r="AK29" t="s">
        <v>150</v>
      </c>
      <c r="AL29">
        <v>31.950151999999999</v>
      </c>
      <c r="AM29" t="s">
        <v>151</v>
      </c>
      <c r="AN29">
        <v>-101.1134</v>
      </c>
      <c r="AQ29" t="s">
        <v>129</v>
      </c>
      <c r="AR29">
        <v>-63</v>
      </c>
      <c r="AS29">
        <v>61</v>
      </c>
      <c r="AT29">
        <v>320</v>
      </c>
      <c r="BB29" t="str">
        <f t="shared" si="2"/>
        <v>1200</v>
      </c>
      <c r="BC29">
        <v>1</v>
      </c>
      <c r="BD29" t="str">
        <f t="shared" si="3"/>
        <v xml:space="preserve">N745MB  </v>
      </c>
      <c r="BE29">
        <v>1</v>
      </c>
      <c r="BG29">
        <v>0</v>
      </c>
      <c r="BH29">
        <v>0</v>
      </c>
      <c r="BI29">
        <v>0</v>
      </c>
      <c r="BL29" t="s">
        <v>130</v>
      </c>
      <c r="BM29">
        <v>1</v>
      </c>
      <c r="BN29">
        <v>0</v>
      </c>
      <c r="BO29">
        <v>0</v>
      </c>
      <c r="BP29">
        <v>0</v>
      </c>
      <c r="BT29">
        <v>0</v>
      </c>
      <c r="BU29">
        <v>0</v>
      </c>
      <c r="CE29" t="str">
        <f>"20:15:30.385"</f>
        <v>20:15:30.385</v>
      </c>
      <c r="CF29">
        <v>385114502</v>
      </c>
      <c r="CS29">
        <v>0</v>
      </c>
      <c r="CT29">
        <v>2</v>
      </c>
      <c r="CU29">
        <v>0</v>
      </c>
      <c r="CV29">
        <v>2</v>
      </c>
      <c r="CW29">
        <v>0</v>
      </c>
      <c r="CX29">
        <v>2</v>
      </c>
      <c r="CY29">
        <v>7</v>
      </c>
      <c r="CZ29" t="s">
        <v>131</v>
      </c>
      <c r="DA29">
        <v>116</v>
      </c>
      <c r="DB29">
        <v>3</v>
      </c>
      <c r="DC29" t="s">
        <v>132</v>
      </c>
      <c r="DD29" t="s">
        <v>133</v>
      </c>
      <c r="DG29">
        <v>8066120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0</v>
      </c>
      <c r="DO29">
        <v>0</v>
      </c>
      <c r="DP29">
        <v>1</v>
      </c>
      <c r="DQ29">
        <v>0</v>
      </c>
      <c r="DR29">
        <v>0</v>
      </c>
      <c r="DS29">
        <v>0</v>
      </c>
    </row>
    <row r="30" spans="1:123" x14ac:dyDescent="0.25">
      <c r="A30" t="str">
        <f>"11/29/2023 20:15:32.397"</f>
        <v>11/29/2023 20:15:32.397</v>
      </c>
      <c r="C30" t="str">
        <f t="shared" si="0"/>
        <v>FFDF53C0</v>
      </c>
      <c r="D30" t="s">
        <v>138</v>
      </c>
      <c r="E30">
        <v>3</v>
      </c>
      <c r="H30">
        <v>160</v>
      </c>
      <c r="I30" t="s">
        <v>124</v>
      </c>
      <c r="J30" t="s">
        <v>139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"20:15:31.875"</f>
        <v>20:15:31.875</v>
      </c>
      <c r="T30" t="str">
        <f>"20:15:31.375"</f>
        <v>20:15:31.375</v>
      </c>
      <c r="U30" t="str">
        <f t="shared" si="1"/>
        <v>AA0632</v>
      </c>
      <c r="V30">
        <v>0</v>
      </c>
      <c r="W30">
        <v>0</v>
      </c>
      <c r="X30">
        <v>2</v>
      </c>
      <c r="Y30">
        <v>0</v>
      </c>
      <c r="AA30">
        <v>0</v>
      </c>
      <c r="AB30">
        <v>8</v>
      </c>
      <c r="AC30">
        <v>3</v>
      </c>
      <c r="AD30">
        <v>0</v>
      </c>
      <c r="AE30">
        <v>9</v>
      </c>
      <c r="AF30" t="s">
        <v>126</v>
      </c>
      <c r="AG30">
        <v>0</v>
      </c>
      <c r="AH30">
        <v>0</v>
      </c>
      <c r="AI30">
        <v>2</v>
      </c>
      <c r="AJ30">
        <v>0</v>
      </c>
      <c r="AK30" t="s">
        <v>152</v>
      </c>
      <c r="AL30">
        <v>31.950581</v>
      </c>
      <c r="AM30" t="s">
        <v>153</v>
      </c>
      <c r="AN30">
        <v>-101.11393700000001</v>
      </c>
      <c r="AQ30" t="s">
        <v>129</v>
      </c>
      <c r="AR30">
        <v>-63</v>
      </c>
      <c r="AS30">
        <v>62</v>
      </c>
      <c r="AT30">
        <v>384</v>
      </c>
      <c r="BB30" t="str">
        <f t="shared" si="2"/>
        <v>1200</v>
      </c>
      <c r="BC30">
        <v>1</v>
      </c>
      <c r="BD30" t="str">
        <f t="shared" si="3"/>
        <v xml:space="preserve">N745MB  </v>
      </c>
      <c r="BE30">
        <v>1</v>
      </c>
      <c r="BG30">
        <v>0</v>
      </c>
      <c r="BH30">
        <v>0</v>
      </c>
      <c r="BI30">
        <v>0</v>
      </c>
      <c r="BL30" t="s">
        <v>130</v>
      </c>
      <c r="BM30">
        <v>1</v>
      </c>
      <c r="BN30">
        <v>0</v>
      </c>
      <c r="BO30">
        <v>0</v>
      </c>
      <c r="BP30">
        <v>0</v>
      </c>
      <c r="BT30">
        <v>0</v>
      </c>
      <c r="BU30">
        <v>0</v>
      </c>
      <c r="CE30" t="str">
        <f>"20:15:31.879"</f>
        <v>20:15:31.879</v>
      </c>
      <c r="CF30">
        <v>879010824</v>
      </c>
      <c r="CS30">
        <v>0</v>
      </c>
      <c r="CT30">
        <v>2</v>
      </c>
      <c r="CU30">
        <v>0</v>
      </c>
      <c r="CV30">
        <v>2</v>
      </c>
      <c r="CW30">
        <v>0</v>
      </c>
      <c r="CX30">
        <v>2</v>
      </c>
      <c r="CY30">
        <v>7</v>
      </c>
      <c r="CZ30" t="s">
        <v>131</v>
      </c>
      <c r="DA30">
        <v>116</v>
      </c>
      <c r="DB30">
        <v>0</v>
      </c>
      <c r="DC30" t="s">
        <v>132</v>
      </c>
      <c r="DD30" t="s">
        <v>133</v>
      </c>
      <c r="DG30">
        <v>14116274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1</v>
      </c>
      <c r="DQ30">
        <v>0</v>
      </c>
      <c r="DR30">
        <v>0</v>
      </c>
      <c r="DS30">
        <v>0</v>
      </c>
    </row>
    <row r="31" spans="1:123" x14ac:dyDescent="0.25">
      <c r="A31" t="str">
        <f>"11/29/2023 20:15:32.397"</f>
        <v>11/29/2023 20:15:32.397</v>
      </c>
      <c r="C31" t="str">
        <f t="shared" si="0"/>
        <v>FFDF53C0</v>
      </c>
      <c r="D31" t="s">
        <v>123</v>
      </c>
      <c r="E31">
        <v>14</v>
      </c>
      <c r="F31">
        <v>1014</v>
      </c>
      <c r="G31" t="s">
        <v>124</v>
      </c>
      <c r="J31" t="s">
        <v>125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"20:15:31.875"</f>
        <v>20:15:31.875</v>
      </c>
      <c r="T31" t="str">
        <f>"20:15:31.375"</f>
        <v>20:15:31.375</v>
      </c>
      <c r="U31" t="str">
        <f t="shared" si="1"/>
        <v>AA0632</v>
      </c>
      <c r="V31">
        <v>0</v>
      </c>
      <c r="W31">
        <v>0</v>
      </c>
      <c r="X31">
        <v>2</v>
      </c>
      <c r="Y31">
        <v>0</v>
      </c>
      <c r="AA31">
        <v>0</v>
      </c>
      <c r="AB31">
        <v>8</v>
      </c>
      <c r="AC31">
        <v>3</v>
      </c>
      <c r="AD31">
        <v>0</v>
      </c>
      <c r="AE31">
        <v>9</v>
      </c>
      <c r="AF31" t="s">
        <v>126</v>
      </c>
      <c r="AG31">
        <v>0</v>
      </c>
      <c r="AH31">
        <v>0</v>
      </c>
      <c r="AI31">
        <v>2</v>
      </c>
      <c r="AJ31">
        <v>0</v>
      </c>
      <c r="AK31" t="s">
        <v>152</v>
      </c>
      <c r="AL31">
        <v>31.950581</v>
      </c>
      <c r="AM31" t="s">
        <v>153</v>
      </c>
      <c r="AN31">
        <v>-101.11393700000001</v>
      </c>
      <c r="AQ31" t="s">
        <v>129</v>
      </c>
      <c r="AR31">
        <v>-63</v>
      </c>
      <c r="AS31">
        <v>62</v>
      </c>
      <c r="AT31">
        <v>384</v>
      </c>
      <c r="BB31" t="str">
        <f t="shared" si="2"/>
        <v>1200</v>
      </c>
      <c r="BC31">
        <v>1</v>
      </c>
      <c r="BD31" t="str">
        <f t="shared" si="3"/>
        <v xml:space="preserve">N745MB  </v>
      </c>
      <c r="BE31">
        <v>1</v>
      </c>
      <c r="BG31">
        <v>0</v>
      </c>
      <c r="BH31">
        <v>0</v>
      </c>
      <c r="BI31">
        <v>0</v>
      </c>
      <c r="BL31" t="s">
        <v>130</v>
      </c>
      <c r="BM31">
        <v>1</v>
      </c>
      <c r="BN31">
        <v>0</v>
      </c>
      <c r="BO31">
        <v>0</v>
      </c>
      <c r="BP31">
        <v>0</v>
      </c>
      <c r="BT31">
        <v>0</v>
      </c>
      <c r="BU31">
        <v>0</v>
      </c>
      <c r="CE31" t="str">
        <f>"20:15:31.879"</f>
        <v>20:15:31.879</v>
      </c>
      <c r="CF31">
        <v>879010824</v>
      </c>
      <c r="CS31">
        <v>0</v>
      </c>
      <c r="CT31">
        <v>2</v>
      </c>
      <c r="CU31">
        <v>0</v>
      </c>
      <c r="CV31">
        <v>2</v>
      </c>
      <c r="CW31">
        <v>0</v>
      </c>
      <c r="CX31">
        <v>2</v>
      </c>
      <c r="CY31">
        <v>7</v>
      </c>
      <c r="CZ31" t="s">
        <v>131</v>
      </c>
      <c r="DA31">
        <v>116</v>
      </c>
      <c r="DB31">
        <v>0</v>
      </c>
      <c r="DC31" t="s">
        <v>132</v>
      </c>
      <c r="DD31" t="s">
        <v>133</v>
      </c>
      <c r="DG31">
        <v>14116274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0</v>
      </c>
      <c r="DO31">
        <v>0</v>
      </c>
      <c r="DP31">
        <v>1</v>
      </c>
      <c r="DQ31">
        <v>0</v>
      </c>
      <c r="DR31">
        <v>0</v>
      </c>
      <c r="DS31">
        <v>0</v>
      </c>
    </row>
    <row r="32" spans="1:123" x14ac:dyDescent="0.25">
      <c r="A32" t="str">
        <f>"11/29/2023 20:15:32.397"</f>
        <v>11/29/2023 20:15:32.397</v>
      </c>
      <c r="C32" t="str">
        <f t="shared" si="0"/>
        <v>FFDF53C0</v>
      </c>
      <c r="D32" t="s">
        <v>123</v>
      </c>
      <c r="E32">
        <v>1</v>
      </c>
      <c r="F32">
        <v>1001</v>
      </c>
      <c r="G32" t="s">
        <v>134</v>
      </c>
      <c r="J32" t="s">
        <v>125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"20:15:31.875"</f>
        <v>20:15:31.875</v>
      </c>
      <c r="T32" t="str">
        <f>"20:15:31.375"</f>
        <v>20:15:31.375</v>
      </c>
      <c r="U32" t="str">
        <f t="shared" si="1"/>
        <v>AA0632</v>
      </c>
      <c r="V32">
        <v>0</v>
      </c>
      <c r="W32">
        <v>0</v>
      </c>
      <c r="X32">
        <v>2</v>
      </c>
      <c r="Y32">
        <v>0</v>
      </c>
      <c r="AA32">
        <v>0</v>
      </c>
      <c r="AB32">
        <v>8</v>
      </c>
      <c r="AC32">
        <v>3</v>
      </c>
      <c r="AD32">
        <v>0</v>
      </c>
      <c r="AE32">
        <v>9</v>
      </c>
      <c r="AF32" t="s">
        <v>126</v>
      </c>
      <c r="AG32">
        <v>0</v>
      </c>
      <c r="AH32">
        <v>0</v>
      </c>
      <c r="AI32">
        <v>2</v>
      </c>
      <c r="AJ32">
        <v>0</v>
      </c>
      <c r="AK32" t="s">
        <v>152</v>
      </c>
      <c r="AL32">
        <v>31.950581</v>
      </c>
      <c r="AM32" t="s">
        <v>153</v>
      </c>
      <c r="AN32">
        <v>-101.11393700000001</v>
      </c>
      <c r="AQ32" t="s">
        <v>129</v>
      </c>
      <c r="AR32">
        <v>-63</v>
      </c>
      <c r="AS32">
        <v>62</v>
      </c>
      <c r="AT32">
        <v>384</v>
      </c>
      <c r="BB32" t="str">
        <f t="shared" si="2"/>
        <v>1200</v>
      </c>
      <c r="BC32">
        <v>1</v>
      </c>
      <c r="BD32" t="str">
        <f t="shared" si="3"/>
        <v xml:space="preserve">N745MB  </v>
      </c>
      <c r="BE32">
        <v>1</v>
      </c>
      <c r="BG32">
        <v>0</v>
      </c>
      <c r="BH32">
        <v>0</v>
      </c>
      <c r="BI32">
        <v>0</v>
      </c>
      <c r="BL32" t="s">
        <v>130</v>
      </c>
      <c r="BM32">
        <v>1</v>
      </c>
      <c r="BN32">
        <v>0</v>
      </c>
      <c r="BO32">
        <v>0</v>
      </c>
      <c r="BP32">
        <v>0</v>
      </c>
      <c r="BT32">
        <v>0</v>
      </c>
      <c r="BU32">
        <v>0</v>
      </c>
      <c r="CE32" t="str">
        <f>"20:15:31.879"</f>
        <v>20:15:31.879</v>
      </c>
      <c r="CF32">
        <v>879010824</v>
      </c>
      <c r="CS32">
        <v>0</v>
      </c>
      <c r="CT32">
        <v>2</v>
      </c>
      <c r="CU32">
        <v>0</v>
      </c>
      <c r="CV32">
        <v>2</v>
      </c>
      <c r="CW32">
        <v>0</v>
      </c>
      <c r="CX32">
        <v>2</v>
      </c>
      <c r="CY32">
        <v>7</v>
      </c>
      <c r="CZ32" t="s">
        <v>131</v>
      </c>
      <c r="DA32">
        <v>116</v>
      </c>
      <c r="DB32">
        <v>0</v>
      </c>
      <c r="DC32" t="s">
        <v>132</v>
      </c>
      <c r="DD32" t="s">
        <v>133</v>
      </c>
      <c r="DG32">
        <v>14116274</v>
      </c>
      <c r="DI32">
        <v>0</v>
      </c>
      <c r="DJ32">
        <v>0</v>
      </c>
      <c r="DK32">
        <v>1</v>
      </c>
      <c r="DL32">
        <v>0</v>
      </c>
      <c r="DM32">
        <v>0</v>
      </c>
      <c r="DN32">
        <v>0</v>
      </c>
      <c r="DO32">
        <v>0</v>
      </c>
      <c r="DP32">
        <v>1</v>
      </c>
      <c r="DQ32">
        <v>0</v>
      </c>
      <c r="DR32">
        <v>0</v>
      </c>
      <c r="DS32">
        <v>0</v>
      </c>
    </row>
    <row r="33" spans="1:123" x14ac:dyDescent="0.25">
      <c r="A33" t="str">
        <f>"11/29/2023 20:15:32.397"</f>
        <v>11/29/2023 20:15:32.397</v>
      </c>
      <c r="C33" t="str">
        <f t="shared" si="0"/>
        <v>FFDF53C0</v>
      </c>
      <c r="D33" t="s">
        <v>135</v>
      </c>
      <c r="E33">
        <v>31</v>
      </c>
      <c r="H33">
        <v>285</v>
      </c>
      <c r="I33" t="s">
        <v>136</v>
      </c>
      <c r="J33" t="s">
        <v>137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"20:15:31.875"</f>
        <v>20:15:31.875</v>
      </c>
      <c r="T33" t="str">
        <f>"20:15:31.375"</f>
        <v>20:15:31.375</v>
      </c>
      <c r="U33" t="str">
        <f t="shared" si="1"/>
        <v>AA0632</v>
      </c>
      <c r="V33">
        <v>0</v>
      </c>
      <c r="W33">
        <v>0</v>
      </c>
      <c r="X33">
        <v>2</v>
      </c>
      <c r="Y33">
        <v>0</v>
      </c>
      <c r="AA33">
        <v>0</v>
      </c>
      <c r="AB33">
        <v>8</v>
      </c>
      <c r="AC33">
        <v>3</v>
      </c>
      <c r="AD33">
        <v>0</v>
      </c>
      <c r="AE33">
        <v>9</v>
      </c>
      <c r="AF33" t="s">
        <v>126</v>
      </c>
      <c r="AG33">
        <v>0</v>
      </c>
      <c r="AH33">
        <v>0</v>
      </c>
      <c r="AI33">
        <v>2</v>
      </c>
      <c r="AJ33">
        <v>0</v>
      </c>
      <c r="AK33" t="s">
        <v>152</v>
      </c>
      <c r="AL33">
        <v>31.950581</v>
      </c>
      <c r="AM33" t="s">
        <v>153</v>
      </c>
      <c r="AN33">
        <v>-101.11393700000001</v>
      </c>
      <c r="AQ33" t="s">
        <v>129</v>
      </c>
      <c r="AR33">
        <v>-63</v>
      </c>
      <c r="AS33">
        <v>62</v>
      </c>
      <c r="AT33">
        <v>384</v>
      </c>
      <c r="BB33" t="str">
        <f t="shared" si="2"/>
        <v>1200</v>
      </c>
      <c r="BC33">
        <v>1</v>
      </c>
      <c r="BD33" t="str">
        <f t="shared" si="3"/>
        <v xml:space="preserve">N745MB  </v>
      </c>
      <c r="BE33">
        <v>1</v>
      </c>
      <c r="BG33">
        <v>0</v>
      </c>
      <c r="BH33">
        <v>0</v>
      </c>
      <c r="BI33">
        <v>0</v>
      </c>
      <c r="BL33" t="s">
        <v>130</v>
      </c>
      <c r="BM33">
        <v>1</v>
      </c>
      <c r="BN33">
        <v>0</v>
      </c>
      <c r="BO33">
        <v>0</v>
      </c>
      <c r="BP33">
        <v>0</v>
      </c>
      <c r="BT33">
        <v>0</v>
      </c>
      <c r="BU33">
        <v>0</v>
      </c>
      <c r="CE33" t="str">
        <f>"20:15:31.879"</f>
        <v>20:15:31.879</v>
      </c>
      <c r="CF33">
        <v>879010824</v>
      </c>
      <c r="CS33">
        <v>0</v>
      </c>
      <c r="CT33">
        <v>2</v>
      </c>
      <c r="CU33">
        <v>0</v>
      </c>
      <c r="CV33">
        <v>2</v>
      </c>
      <c r="CW33">
        <v>0</v>
      </c>
      <c r="CX33">
        <v>2</v>
      </c>
      <c r="CY33">
        <v>7</v>
      </c>
      <c r="CZ33" t="s">
        <v>131</v>
      </c>
      <c r="DA33">
        <v>116</v>
      </c>
      <c r="DB33">
        <v>0</v>
      </c>
      <c r="DC33" t="s">
        <v>132</v>
      </c>
      <c r="DD33" t="s">
        <v>133</v>
      </c>
      <c r="DG33">
        <v>14116274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1</v>
      </c>
      <c r="DQ33">
        <v>0</v>
      </c>
      <c r="DR33">
        <v>0</v>
      </c>
      <c r="DS33">
        <v>0</v>
      </c>
    </row>
    <row r="34" spans="1:123" x14ac:dyDescent="0.25">
      <c r="A34" t="str">
        <f>"11/29/2023 20:15:33.632"</f>
        <v>11/29/2023 20:15:33.632</v>
      </c>
      <c r="C34" t="str">
        <f t="shared" ref="C34:C51" si="5">"FFDF53C0"</f>
        <v>FFDF53C0</v>
      </c>
      <c r="D34" t="s">
        <v>123</v>
      </c>
      <c r="E34">
        <v>1</v>
      </c>
      <c r="F34">
        <v>1001</v>
      </c>
      <c r="G34" t="s">
        <v>134</v>
      </c>
      <c r="J34" t="s">
        <v>125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"20:15:33.305"</f>
        <v>20:15:33.305</v>
      </c>
      <c r="T34" t="str">
        <f>"20:15:33.305"</f>
        <v>20:15:33.305</v>
      </c>
      <c r="U34" t="str">
        <f t="shared" si="1"/>
        <v>AA0632</v>
      </c>
      <c r="V34">
        <v>0</v>
      </c>
      <c r="W34">
        <v>0</v>
      </c>
      <c r="X34">
        <v>2</v>
      </c>
      <c r="Y34">
        <v>0</v>
      </c>
      <c r="AA34">
        <v>0</v>
      </c>
      <c r="AB34">
        <v>8</v>
      </c>
      <c r="AC34">
        <v>3</v>
      </c>
      <c r="AD34">
        <v>0</v>
      </c>
      <c r="AE34">
        <v>9</v>
      </c>
      <c r="AF34" t="s">
        <v>126</v>
      </c>
      <c r="AG34">
        <v>0</v>
      </c>
      <c r="AH34">
        <v>0</v>
      </c>
      <c r="AI34">
        <v>2</v>
      </c>
      <c r="AJ34">
        <v>0</v>
      </c>
      <c r="AK34" t="s">
        <v>154</v>
      </c>
      <c r="AL34">
        <v>31.951032000000001</v>
      </c>
      <c r="AM34" t="s">
        <v>155</v>
      </c>
      <c r="AN34">
        <v>-101.11443</v>
      </c>
      <c r="AQ34" t="s">
        <v>129</v>
      </c>
      <c r="AR34">
        <v>-65</v>
      </c>
      <c r="AS34">
        <v>64</v>
      </c>
      <c r="AT34">
        <v>448</v>
      </c>
      <c r="BB34" t="str">
        <f t="shared" si="2"/>
        <v>1200</v>
      </c>
      <c r="BC34">
        <v>1</v>
      </c>
      <c r="BD34" t="str">
        <f t="shared" ref="BD34:BD51" si="6">"N745MB  "</f>
        <v xml:space="preserve">N745MB  </v>
      </c>
      <c r="BE34">
        <v>1</v>
      </c>
      <c r="BG34">
        <v>0</v>
      </c>
      <c r="BH34">
        <v>0</v>
      </c>
      <c r="BI34">
        <v>0</v>
      </c>
      <c r="BL34" t="s">
        <v>130</v>
      </c>
      <c r="BM34">
        <v>1</v>
      </c>
      <c r="BN34">
        <v>0</v>
      </c>
      <c r="BO34">
        <v>0</v>
      </c>
      <c r="BP34">
        <v>0</v>
      </c>
      <c r="BT34">
        <v>0</v>
      </c>
      <c r="BU34">
        <v>0</v>
      </c>
      <c r="CE34" t="str">
        <f>"20:15:33.311"</f>
        <v>20:15:33.311</v>
      </c>
      <c r="CF34">
        <v>310911766</v>
      </c>
      <c r="CS34">
        <v>0</v>
      </c>
      <c r="CT34">
        <v>2</v>
      </c>
      <c r="CU34">
        <v>0</v>
      </c>
      <c r="CV34">
        <v>2</v>
      </c>
      <c r="CW34">
        <v>0</v>
      </c>
      <c r="CX34">
        <v>2</v>
      </c>
      <c r="CY34">
        <v>7</v>
      </c>
      <c r="CZ34" t="s">
        <v>131</v>
      </c>
      <c r="DA34">
        <v>116</v>
      </c>
      <c r="DB34">
        <v>0</v>
      </c>
      <c r="DC34" t="s">
        <v>132</v>
      </c>
      <c r="DD34" t="s">
        <v>133</v>
      </c>
      <c r="DG34">
        <v>14117583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1</v>
      </c>
      <c r="DQ34">
        <v>0</v>
      </c>
      <c r="DR34">
        <v>0</v>
      </c>
      <c r="DS34">
        <v>0</v>
      </c>
    </row>
    <row r="35" spans="1:123" x14ac:dyDescent="0.25">
      <c r="A35" t="str">
        <f>"11/29/2023 20:15:33.632"</f>
        <v>11/29/2023 20:15:33.632</v>
      </c>
      <c r="C35" t="str">
        <f t="shared" si="5"/>
        <v>FFDF53C0</v>
      </c>
      <c r="D35" t="s">
        <v>135</v>
      </c>
      <c r="E35">
        <v>31</v>
      </c>
      <c r="H35">
        <v>285</v>
      </c>
      <c r="I35" t="s">
        <v>136</v>
      </c>
      <c r="J35" t="s">
        <v>137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"20:15:33.305"</f>
        <v>20:15:33.305</v>
      </c>
      <c r="T35" t="str">
        <f>"20:15:33.305"</f>
        <v>20:15:33.305</v>
      </c>
      <c r="U35" t="str">
        <f t="shared" si="1"/>
        <v>AA0632</v>
      </c>
      <c r="V35">
        <v>0</v>
      </c>
      <c r="W35">
        <v>0</v>
      </c>
      <c r="X35">
        <v>2</v>
      </c>
      <c r="Y35">
        <v>0</v>
      </c>
      <c r="AA35">
        <v>0</v>
      </c>
      <c r="AB35">
        <v>8</v>
      </c>
      <c r="AC35">
        <v>3</v>
      </c>
      <c r="AD35">
        <v>0</v>
      </c>
      <c r="AE35">
        <v>9</v>
      </c>
      <c r="AF35" t="s">
        <v>126</v>
      </c>
      <c r="AG35">
        <v>0</v>
      </c>
      <c r="AH35">
        <v>0</v>
      </c>
      <c r="AI35">
        <v>2</v>
      </c>
      <c r="AJ35">
        <v>0</v>
      </c>
      <c r="AK35" t="s">
        <v>154</v>
      </c>
      <c r="AL35">
        <v>31.951032000000001</v>
      </c>
      <c r="AM35" t="s">
        <v>155</v>
      </c>
      <c r="AN35">
        <v>-101.11443</v>
      </c>
      <c r="AQ35" t="s">
        <v>129</v>
      </c>
      <c r="AR35">
        <v>-65</v>
      </c>
      <c r="AS35">
        <v>64</v>
      </c>
      <c r="AT35">
        <v>448</v>
      </c>
      <c r="BB35" t="str">
        <f t="shared" si="2"/>
        <v>1200</v>
      </c>
      <c r="BC35">
        <v>1</v>
      </c>
      <c r="BD35" t="str">
        <f t="shared" si="6"/>
        <v xml:space="preserve">N745MB  </v>
      </c>
      <c r="BE35">
        <v>1</v>
      </c>
      <c r="BG35">
        <v>0</v>
      </c>
      <c r="BH35">
        <v>0</v>
      </c>
      <c r="BI35">
        <v>0</v>
      </c>
      <c r="BL35" t="s">
        <v>130</v>
      </c>
      <c r="BM35">
        <v>1</v>
      </c>
      <c r="BN35">
        <v>0</v>
      </c>
      <c r="BO35">
        <v>0</v>
      </c>
      <c r="BP35">
        <v>0</v>
      </c>
      <c r="BT35">
        <v>0</v>
      </c>
      <c r="BU35">
        <v>0</v>
      </c>
      <c r="CE35" t="str">
        <f>"20:15:33.311"</f>
        <v>20:15:33.311</v>
      </c>
      <c r="CF35">
        <v>310911766</v>
      </c>
      <c r="CS35">
        <v>0</v>
      </c>
      <c r="CT35">
        <v>2</v>
      </c>
      <c r="CU35">
        <v>0</v>
      </c>
      <c r="CV35">
        <v>2</v>
      </c>
      <c r="CW35">
        <v>0</v>
      </c>
      <c r="CX35">
        <v>2</v>
      </c>
      <c r="CY35">
        <v>7</v>
      </c>
      <c r="CZ35" t="s">
        <v>131</v>
      </c>
      <c r="DA35">
        <v>116</v>
      </c>
      <c r="DB35">
        <v>0</v>
      </c>
      <c r="DC35" t="s">
        <v>132</v>
      </c>
      <c r="DD35" t="s">
        <v>133</v>
      </c>
      <c r="DG35">
        <v>14117583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0</v>
      </c>
      <c r="DO35">
        <v>0</v>
      </c>
      <c r="DP35">
        <v>1</v>
      </c>
      <c r="DQ35">
        <v>0</v>
      </c>
      <c r="DR35">
        <v>0</v>
      </c>
      <c r="DS35">
        <v>0</v>
      </c>
    </row>
    <row r="36" spans="1:123" x14ac:dyDescent="0.25">
      <c r="A36" t="str">
        <f>"11/29/2023 20:15:35.460"</f>
        <v>11/29/2023 20:15:35.460</v>
      </c>
      <c r="C36" t="str">
        <f t="shared" si="5"/>
        <v>FFDF53C0</v>
      </c>
      <c r="D36" t="s">
        <v>135</v>
      </c>
      <c r="E36">
        <v>31</v>
      </c>
      <c r="H36">
        <v>285</v>
      </c>
      <c r="I36" t="s">
        <v>136</v>
      </c>
      <c r="J36" t="s">
        <v>137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"20:15:35.031"</f>
        <v>20:15:35.031</v>
      </c>
      <c r="T36" t="str">
        <f>"20:15:34.831"</f>
        <v>20:15:34.831</v>
      </c>
      <c r="U36" t="str">
        <f t="shared" si="1"/>
        <v>AA0632</v>
      </c>
      <c r="V36">
        <v>0</v>
      </c>
      <c r="W36">
        <v>0</v>
      </c>
      <c r="X36">
        <v>2</v>
      </c>
      <c r="Y36">
        <v>0</v>
      </c>
      <c r="AA36">
        <v>0</v>
      </c>
      <c r="AB36">
        <v>8</v>
      </c>
      <c r="AC36">
        <v>3</v>
      </c>
      <c r="AD36">
        <v>0</v>
      </c>
      <c r="AE36">
        <v>9</v>
      </c>
      <c r="AF36" t="s">
        <v>126</v>
      </c>
      <c r="AG36">
        <v>0</v>
      </c>
      <c r="AH36">
        <v>0</v>
      </c>
      <c r="AI36">
        <v>2</v>
      </c>
      <c r="AJ36">
        <v>0</v>
      </c>
      <c r="AK36" t="s">
        <v>156</v>
      </c>
      <c r="AL36">
        <v>31.951547000000001</v>
      </c>
      <c r="AM36" t="s">
        <v>157</v>
      </c>
      <c r="AN36">
        <v>-101.115031</v>
      </c>
      <c r="AQ36" t="s">
        <v>129</v>
      </c>
      <c r="AR36">
        <v>-65</v>
      </c>
      <c r="AS36">
        <v>66</v>
      </c>
      <c r="AT36">
        <v>256</v>
      </c>
      <c r="BB36" t="str">
        <f t="shared" si="2"/>
        <v>1200</v>
      </c>
      <c r="BC36">
        <v>1</v>
      </c>
      <c r="BD36" t="str">
        <f t="shared" si="6"/>
        <v xml:space="preserve">N745MB  </v>
      </c>
      <c r="BE36">
        <v>1</v>
      </c>
      <c r="BG36">
        <v>0</v>
      </c>
      <c r="BH36">
        <v>0</v>
      </c>
      <c r="BI36">
        <v>0</v>
      </c>
      <c r="BL36" t="s">
        <v>130</v>
      </c>
      <c r="BM36">
        <v>1</v>
      </c>
      <c r="BN36">
        <v>0</v>
      </c>
      <c r="BO36">
        <v>0</v>
      </c>
      <c r="BP36">
        <v>0</v>
      </c>
      <c r="BT36">
        <v>0</v>
      </c>
      <c r="BU36">
        <v>0</v>
      </c>
      <c r="CE36" t="str">
        <f>"20:15:35.035"</f>
        <v>20:15:35.035</v>
      </c>
      <c r="CF36">
        <v>34790195</v>
      </c>
      <c r="CS36">
        <v>0</v>
      </c>
      <c r="CT36">
        <v>2</v>
      </c>
      <c r="CU36">
        <v>0</v>
      </c>
      <c r="CV36">
        <v>2</v>
      </c>
      <c r="CW36">
        <v>0</v>
      </c>
      <c r="CX36">
        <v>2</v>
      </c>
      <c r="CY36">
        <v>7</v>
      </c>
      <c r="CZ36" t="s">
        <v>131</v>
      </c>
      <c r="DA36">
        <v>116</v>
      </c>
      <c r="DB36">
        <v>3</v>
      </c>
      <c r="DC36" t="s">
        <v>132</v>
      </c>
      <c r="DD36" t="s">
        <v>133</v>
      </c>
      <c r="DG36">
        <v>8068607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1</v>
      </c>
      <c r="DQ36">
        <v>0</v>
      </c>
      <c r="DR36">
        <v>0</v>
      </c>
      <c r="DS36">
        <v>0</v>
      </c>
    </row>
    <row r="37" spans="1:123" x14ac:dyDescent="0.25">
      <c r="A37" t="str">
        <f>"11/29/2023 20:15:35.460"</f>
        <v>11/29/2023 20:15:35.460</v>
      </c>
      <c r="C37" t="str">
        <f t="shared" si="5"/>
        <v>FFDF53C0</v>
      </c>
      <c r="D37" t="s">
        <v>123</v>
      </c>
      <c r="E37">
        <v>14</v>
      </c>
      <c r="F37">
        <v>1014</v>
      </c>
      <c r="G37" t="s">
        <v>124</v>
      </c>
      <c r="J37" t="s">
        <v>125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"20:15:35.031"</f>
        <v>20:15:35.031</v>
      </c>
      <c r="T37" t="str">
        <f>"20:15:34.831"</f>
        <v>20:15:34.831</v>
      </c>
      <c r="U37" t="str">
        <f t="shared" si="1"/>
        <v>AA0632</v>
      </c>
      <c r="V37">
        <v>0</v>
      </c>
      <c r="W37">
        <v>0</v>
      </c>
      <c r="X37">
        <v>2</v>
      </c>
      <c r="Y37">
        <v>0</v>
      </c>
      <c r="AA37">
        <v>0</v>
      </c>
      <c r="AB37">
        <v>8</v>
      </c>
      <c r="AC37">
        <v>3</v>
      </c>
      <c r="AD37">
        <v>0</v>
      </c>
      <c r="AE37">
        <v>9</v>
      </c>
      <c r="AF37" t="s">
        <v>126</v>
      </c>
      <c r="AG37">
        <v>0</v>
      </c>
      <c r="AH37">
        <v>0</v>
      </c>
      <c r="AI37">
        <v>2</v>
      </c>
      <c r="AJ37">
        <v>0</v>
      </c>
      <c r="AK37" t="s">
        <v>156</v>
      </c>
      <c r="AL37">
        <v>31.951547000000001</v>
      </c>
      <c r="AM37" t="s">
        <v>157</v>
      </c>
      <c r="AN37">
        <v>-101.115031</v>
      </c>
      <c r="AQ37" t="s">
        <v>129</v>
      </c>
      <c r="AR37">
        <v>-65</v>
      </c>
      <c r="AS37">
        <v>66</v>
      </c>
      <c r="AT37">
        <v>256</v>
      </c>
      <c r="BB37" t="str">
        <f t="shared" si="2"/>
        <v>1200</v>
      </c>
      <c r="BC37">
        <v>1</v>
      </c>
      <c r="BD37" t="str">
        <f t="shared" si="6"/>
        <v xml:space="preserve">N745MB  </v>
      </c>
      <c r="BE37">
        <v>1</v>
      </c>
      <c r="BG37">
        <v>0</v>
      </c>
      <c r="BH37">
        <v>0</v>
      </c>
      <c r="BI37">
        <v>0</v>
      </c>
      <c r="BL37" t="s">
        <v>130</v>
      </c>
      <c r="BM37">
        <v>1</v>
      </c>
      <c r="BN37">
        <v>0</v>
      </c>
      <c r="BO37">
        <v>0</v>
      </c>
      <c r="BP37">
        <v>0</v>
      </c>
      <c r="BT37">
        <v>0</v>
      </c>
      <c r="BU37">
        <v>0</v>
      </c>
      <c r="CE37" t="str">
        <f>"20:15:35.035"</f>
        <v>20:15:35.035</v>
      </c>
      <c r="CF37">
        <v>34790195</v>
      </c>
      <c r="CS37">
        <v>0</v>
      </c>
      <c r="CT37">
        <v>2</v>
      </c>
      <c r="CU37">
        <v>0</v>
      </c>
      <c r="CV37">
        <v>2</v>
      </c>
      <c r="CW37">
        <v>0</v>
      </c>
      <c r="CX37">
        <v>2</v>
      </c>
      <c r="CY37">
        <v>7</v>
      </c>
      <c r="CZ37" t="s">
        <v>131</v>
      </c>
      <c r="DA37">
        <v>116</v>
      </c>
      <c r="DB37">
        <v>3</v>
      </c>
      <c r="DC37" t="s">
        <v>132</v>
      </c>
      <c r="DD37" t="s">
        <v>133</v>
      </c>
      <c r="DG37">
        <v>8068607</v>
      </c>
      <c r="DI37">
        <v>0</v>
      </c>
      <c r="DJ37">
        <v>0</v>
      </c>
      <c r="DK37">
        <v>1</v>
      </c>
      <c r="DL37">
        <v>0</v>
      </c>
      <c r="DM37">
        <v>0</v>
      </c>
      <c r="DN37">
        <v>0</v>
      </c>
      <c r="DO37">
        <v>0</v>
      </c>
      <c r="DP37">
        <v>1</v>
      </c>
      <c r="DQ37">
        <v>0</v>
      </c>
      <c r="DR37">
        <v>0</v>
      </c>
      <c r="DS37">
        <v>0</v>
      </c>
    </row>
    <row r="38" spans="1:123" x14ac:dyDescent="0.25">
      <c r="A38" t="str">
        <f>"11/29/2023 20:15:35.460"</f>
        <v>11/29/2023 20:15:35.460</v>
      </c>
      <c r="C38" t="str">
        <f t="shared" si="5"/>
        <v>FFDF53C0</v>
      </c>
      <c r="D38" t="s">
        <v>138</v>
      </c>
      <c r="E38">
        <v>3</v>
      </c>
      <c r="H38">
        <v>160</v>
      </c>
      <c r="I38" t="s">
        <v>124</v>
      </c>
      <c r="J38" t="s">
        <v>139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"20:15:35.031"</f>
        <v>20:15:35.031</v>
      </c>
      <c r="T38" t="str">
        <f>"20:15:34.831"</f>
        <v>20:15:34.831</v>
      </c>
      <c r="U38" t="str">
        <f t="shared" si="1"/>
        <v>AA0632</v>
      </c>
      <c r="V38">
        <v>0</v>
      </c>
      <c r="W38">
        <v>0</v>
      </c>
      <c r="X38">
        <v>2</v>
      </c>
      <c r="Y38">
        <v>0</v>
      </c>
      <c r="AA38">
        <v>0</v>
      </c>
      <c r="AB38">
        <v>8</v>
      </c>
      <c r="AC38">
        <v>3</v>
      </c>
      <c r="AD38">
        <v>0</v>
      </c>
      <c r="AE38">
        <v>9</v>
      </c>
      <c r="AF38" t="s">
        <v>126</v>
      </c>
      <c r="AG38">
        <v>0</v>
      </c>
      <c r="AH38">
        <v>0</v>
      </c>
      <c r="AI38">
        <v>2</v>
      </c>
      <c r="AJ38">
        <v>0</v>
      </c>
      <c r="AK38" t="s">
        <v>156</v>
      </c>
      <c r="AL38">
        <v>31.951547000000001</v>
      </c>
      <c r="AM38" t="s">
        <v>157</v>
      </c>
      <c r="AN38">
        <v>-101.115031</v>
      </c>
      <c r="AQ38" t="s">
        <v>129</v>
      </c>
      <c r="AR38">
        <v>-65</v>
      </c>
      <c r="AS38">
        <v>66</v>
      </c>
      <c r="AT38">
        <v>256</v>
      </c>
      <c r="BB38" t="str">
        <f t="shared" si="2"/>
        <v>1200</v>
      </c>
      <c r="BC38">
        <v>1</v>
      </c>
      <c r="BD38" t="str">
        <f t="shared" si="6"/>
        <v xml:space="preserve">N745MB  </v>
      </c>
      <c r="BE38">
        <v>1</v>
      </c>
      <c r="BG38">
        <v>0</v>
      </c>
      <c r="BH38">
        <v>0</v>
      </c>
      <c r="BI38">
        <v>0</v>
      </c>
      <c r="BL38" t="s">
        <v>130</v>
      </c>
      <c r="BM38">
        <v>1</v>
      </c>
      <c r="BN38">
        <v>0</v>
      </c>
      <c r="BO38">
        <v>0</v>
      </c>
      <c r="BP38">
        <v>0</v>
      </c>
      <c r="BT38">
        <v>0</v>
      </c>
      <c r="BU38">
        <v>0</v>
      </c>
      <c r="CE38" t="str">
        <f>"20:15:35.035"</f>
        <v>20:15:35.035</v>
      </c>
      <c r="CF38">
        <v>34790195</v>
      </c>
      <c r="CS38">
        <v>0</v>
      </c>
      <c r="CT38">
        <v>2</v>
      </c>
      <c r="CU38">
        <v>0</v>
      </c>
      <c r="CV38">
        <v>2</v>
      </c>
      <c r="CW38">
        <v>0</v>
      </c>
      <c r="CX38">
        <v>2</v>
      </c>
      <c r="CY38">
        <v>7</v>
      </c>
      <c r="CZ38" t="s">
        <v>131</v>
      </c>
      <c r="DA38">
        <v>116</v>
      </c>
      <c r="DB38">
        <v>3</v>
      </c>
      <c r="DC38" t="s">
        <v>132</v>
      </c>
      <c r="DD38" t="s">
        <v>133</v>
      </c>
      <c r="DG38">
        <v>8068607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1</v>
      </c>
      <c r="DQ38">
        <v>0</v>
      </c>
      <c r="DR38">
        <v>0</v>
      </c>
      <c r="DS38">
        <v>0</v>
      </c>
    </row>
    <row r="39" spans="1:123" x14ac:dyDescent="0.25">
      <c r="A39" t="str">
        <f>"11/29/2023 20:15:35.569"</f>
        <v>11/29/2023 20:15:35.569</v>
      </c>
      <c r="C39" t="str">
        <f t="shared" si="5"/>
        <v>FFDF53C0</v>
      </c>
      <c r="D39" t="s">
        <v>123</v>
      </c>
      <c r="E39">
        <v>1</v>
      </c>
      <c r="F39">
        <v>1001</v>
      </c>
      <c r="G39" t="s">
        <v>134</v>
      </c>
      <c r="J39" t="s">
        <v>125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"20:15:35.031"</f>
        <v>20:15:35.031</v>
      </c>
      <c r="T39" t="str">
        <f>"20:15:34.831"</f>
        <v>20:15:34.831</v>
      </c>
      <c r="U39" t="str">
        <f t="shared" si="1"/>
        <v>AA0632</v>
      </c>
      <c r="V39">
        <v>0</v>
      </c>
      <c r="W39">
        <v>0</v>
      </c>
      <c r="X39">
        <v>2</v>
      </c>
      <c r="Y39">
        <v>0</v>
      </c>
      <c r="AA39">
        <v>0</v>
      </c>
      <c r="AB39">
        <v>8</v>
      </c>
      <c r="AC39">
        <v>3</v>
      </c>
      <c r="AD39">
        <v>0</v>
      </c>
      <c r="AE39">
        <v>9</v>
      </c>
      <c r="AF39" t="s">
        <v>126</v>
      </c>
      <c r="AG39">
        <v>0</v>
      </c>
      <c r="AH39">
        <v>0</v>
      </c>
      <c r="AI39">
        <v>2</v>
      </c>
      <c r="AJ39">
        <v>0</v>
      </c>
      <c r="AK39" t="s">
        <v>156</v>
      </c>
      <c r="AL39">
        <v>31.951547000000001</v>
      </c>
      <c r="AM39" t="s">
        <v>157</v>
      </c>
      <c r="AN39">
        <v>-101.115031</v>
      </c>
      <c r="AQ39" t="s">
        <v>129</v>
      </c>
      <c r="AR39">
        <v>-65</v>
      </c>
      <c r="AS39">
        <v>66</v>
      </c>
      <c r="AT39">
        <v>256</v>
      </c>
      <c r="BB39" t="str">
        <f t="shared" si="2"/>
        <v>1200</v>
      </c>
      <c r="BC39">
        <v>1</v>
      </c>
      <c r="BD39" t="str">
        <f t="shared" si="6"/>
        <v xml:space="preserve">N745MB  </v>
      </c>
      <c r="BE39">
        <v>1</v>
      </c>
      <c r="BG39">
        <v>0</v>
      </c>
      <c r="BH39">
        <v>0</v>
      </c>
      <c r="BI39">
        <v>0</v>
      </c>
      <c r="BL39" t="s">
        <v>130</v>
      </c>
      <c r="BM39">
        <v>1</v>
      </c>
      <c r="BN39">
        <v>0</v>
      </c>
      <c r="BO39">
        <v>0</v>
      </c>
      <c r="BP39">
        <v>0</v>
      </c>
      <c r="BT39">
        <v>0</v>
      </c>
      <c r="BU39">
        <v>0</v>
      </c>
      <c r="CE39" t="str">
        <f>"20:15:35.035"</f>
        <v>20:15:35.035</v>
      </c>
      <c r="CF39">
        <v>34790195</v>
      </c>
      <c r="CS39">
        <v>0</v>
      </c>
      <c r="CT39">
        <v>2</v>
      </c>
      <c r="CU39">
        <v>0</v>
      </c>
      <c r="CV39">
        <v>2</v>
      </c>
      <c r="CW39">
        <v>0</v>
      </c>
      <c r="CX39">
        <v>2</v>
      </c>
      <c r="CY39">
        <v>7</v>
      </c>
      <c r="CZ39" t="s">
        <v>131</v>
      </c>
      <c r="DA39">
        <v>116</v>
      </c>
      <c r="DB39">
        <v>3</v>
      </c>
      <c r="DC39" t="s">
        <v>132</v>
      </c>
      <c r="DD39" t="s">
        <v>133</v>
      </c>
      <c r="DG39">
        <v>8068607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1</v>
      </c>
      <c r="DQ39">
        <v>0</v>
      </c>
      <c r="DR39">
        <v>0</v>
      </c>
      <c r="DS39">
        <v>0</v>
      </c>
    </row>
    <row r="40" spans="1:123" x14ac:dyDescent="0.25">
      <c r="A40" t="str">
        <f>"11/29/2023 20:15:36.866"</f>
        <v>11/29/2023 20:15:36.866</v>
      </c>
      <c r="C40" t="str">
        <f t="shared" si="5"/>
        <v>FFDF53C0</v>
      </c>
      <c r="D40" t="s">
        <v>135</v>
      </c>
      <c r="E40">
        <v>31</v>
      </c>
      <c r="H40">
        <v>285</v>
      </c>
      <c r="I40" t="s">
        <v>136</v>
      </c>
      <c r="J40" t="s">
        <v>137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"20:15:36.516"</f>
        <v>20:15:36.516</v>
      </c>
      <c r="T40" t="str">
        <f>"20:15:35.316"</f>
        <v>20:15:35.316</v>
      </c>
      <c r="U40" t="str">
        <f t="shared" si="1"/>
        <v>AA0632</v>
      </c>
      <c r="V40">
        <v>0</v>
      </c>
      <c r="W40">
        <v>0</v>
      </c>
      <c r="X40">
        <v>2</v>
      </c>
      <c r="Y40">
        <v>0</v>
      </c>
      <c r="AA40">
        <v>0</v>
      </c>
      <c r="AB40">
        <v>8</v>
      </c>
      <c r="AC40">
        <v>3</v>
      </c>
      <c r="AD40">
        <v>0</v>
      </c>
      <c r="AE40">
        <v>9</v>
      </c>
      <c r="AF40" t="s">
        <v>126</v>
      </c>
      <c r="AG40">
        <v>0</v>
      </c>
      <c r="AH40">
        <v>0</v>
      </c>
      <c r="AI40">
        <v>2</v>
      </c>
      <c r="AJ40">
        <v>0</v>
      </c>
      <c r="AK40" t="s">
        <v>158</v>
      </c>
      <c r="AL40">
        <v>31.951996999999999</v>
      </c>
      <c r="AM40" t="s">
        <v>159</v>
      </c>
      <c r="AN40">
        <v>-101.115589</v>
      </c>
      <c r="AQ40" t="s">
        <v>129</v>
      </c>
      <c r="AR40">
        <v>-65</v>
      </c>
      <c r="AS40">
        <v>66</v>
      </c>
      <c r="AT40">
        <v>192</v>
      </c>
      <c r="BB40" t="str">
        <f t="shared" si="2"/>
        <v>1200</v>
      </c>
      <c r="BC40">
        <v>1</v>
      </c>
      <c r="BD40" t="str">
        <f t="shared" si="6"/>
        <v xml:space="preserve">N745MB  </v>
      </c>
      <c r="BE40">
        <v>1</v>
      </c>
      <c r="BG40">
        <v>0</v>
      </c>
      <c r="BH40">
        <v>0</v>
      </c>
      <c r="BI40">
        <v>0</v>
      </c>
      <c r="BL40" t="s">
        <v>130</v>
      </c>
      <c r="BM40">
        <v>1</v>
      </c>
      <c r="BN40">
        <v>0</v>
      </c>
      <c r="BO40">
        <v>0</v>
      </c>
      <c r="BP40">
        <v>0</v>
      </c>
      <c r="BT40">
        <v>0</v>
      </c>
      <c r="BU40">
        <v>0</v>
      </c>
      <c r="CE40" t="str">
        <f>"20:15:36.523"</f>
        <v>20:15:36.523</v>
      </c>
      <c r="CF40">
        <v>522687405</v>
      </c>
      <c r="CS40">
        <v>0</v>
      </c>
      <c r="CT40">
        <v>2</v>
      </c>
      <c r="CU40">
        <v>0</v>
      </c>
      <c r="CV40">
        <v>2</v>
      </c>
      <c r="CW40">
        <v>0</v>
      </c>
      <c r="CX40">
        <v>2</v>
      </c>
      <c r="CY40">
        <v>7</v>
      </c>
      <c r="CZ40" t="s">
        <v>131</v>
      </c>
      <c r="DA40">
        <v>116</v>
      </c>
      <c r="DB40">
        <v>0</v>
      </c>
      <c r="DC40" t="s">
        <v>132</v>
      </c>
      <c r="DD40" t="s">
        <v>133</v>
      </c>
      <c r="DG40">
        <v>14120403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1</v>
      </c>
      <c r="DQ40">
        <v>0</v>
      </c>
      <c r="DR40">
        <v>0</v>
      </c>
      <c r="DS40">
        <v>0</v>
      </c>
    </row>
    <row r="41" spans="1:123" x14ac:dyDescent="0.25">
      <c r="A41" t="str">
        <f>"11/29/2023 20:15:36.866"</f>
        <v>11/29/2023 20:15:36.866</v>
      </c>
      <c r="C41" t="str">
        <f t="shared" si="5"/>
        <v>FFDF53C0</v>
      </c>
      <c r="D41" t="s">
        <v>123</v>
      </c>
      <c r="E41">
        <v>14</v>
      </c>
      <c r="F41">
        <v>1014</v>
      </c>
      <c r="G41" t="s">
        <v>124</v>
      </c>
      <c r="J41" t="s">
        <v>125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"20:15:36.516"</f>
        <v>20:15:36.516</v>
      </c>
      <c r="T41" t="str">
        <f>"20:15:35.316"</f>
        <v>20:15:35.316</v>
      </c>
      <c r="U41" t="str">
        <f t="shared" si="1"/>
        <v>AA0632</v>
      </c>
      <c r="V41">
        <v>0</v>
      </c>
      <c r="W41">
        <v>0</v>
      </c>
      <c r="X41">
        <v>2</v>
      </c>
      <c r="Y41">
        <v>0</v>
      </c>
      <c r="AA41">
        <v>0</v>
      </c>
      <c r="AB41">
        <v>8</v>
      </c>
      <c r="AC41">
        <v>3</v>
      </c>
      <c r="AD41">
        <v>0</v>
      </c>
      <c r="AE41">
        <v>9</v>
      </c>
      <c r="AF41" t="s">
        <v>126</v>
      </c>
      <c r="AG41">
        <v>0</v>
      </c>
      <c r="AH41">
        <v>0</v>
      </c>
      <c r="AI41">
        <v>2</v>
      </c>
      <c r="AJ41">
        <v>0</v>
      </c>
      <c r="AK41" t="s">
        <v>158</v>
      </c>
      <c r="AL41">
        <v>31.951996999999999</v>
      </c>
      <c r="AM41" t="s">
        <v>159</v>
      </c>
      <c r="AN41">
        <v>-101.115589</v>
      </c>
      <c r="AQ41" t="s">
        <v>129</v>
      </c>
      <c r="AR41">
        <v>-65</v>
      </c>
      <c r="AS41">
        <v>66</v>
      </c>
      <c r="AT41">
        <v>192</v>
      </c>
      <c r="BB41" t="str">
        <f t="shared" si="2"/>
        <v>1200</v>
      </c>
      <c r="BC41">
        <v>1</v>
      </c>
      <c r="BD41" t="str">
        <f t="shared" si="6"/>
        <v xml:space="preserve">N745MB  </v>
      </c>
      <c r="BE41">
        <v>1</v>
      </c>
      <c r="BG41">
        <v>0</v>
      </c>
      <c r="BH41">
        <v>0</v>
      </c>
      <c r="BI41">
        <v>0</v>
      </c>
      <c r="BL41" t="s">
        <v>130</v>
      </c>
      <c r="BM41">
        <v>1</v>
      </c>
      <c r="BN41">
        <v>0</v>
      </c>
      <c r="BO41">
        <v>0</v>
      </c>
      <c r="BP41">
        <v>0</v>
      </c>
      <c r="BT41">
        <v>0</v>
      </c>
      <c r="BU41">
        <v>0</v>
      </c>
      <c r="CE41" t="str">
        <f>"20:15:36.523"</f>
        <v>20:15:36.523</v>
      </c>
      <c r="CF41">
        <v>522687405</v>
      </c>
      <c r="CS41">
        <v>0</v>
      </c>
      <c r="CT41">
        <v>2</v>
      </c>
      <c r="CU41">
        <v>0</v>
      </c>
      <c r="CV41">
        <v>2</v>
      </c>
      <c r="CW41">
        <v>0</v>
      </c>
      <c r="CX41">
        <v>2</v>
      </c>
      <c r="CY41">
        <v>7</v>
      </c>
      <c r="CZ41" t="s">
        <v>131</v>
      </c>
      <c r="DA41">
        <v>116</v>
      </c>
      <c r="DB41">
        <v>0</v>
      </c>
      <c r="DC41" t="s">
        <v>132</v>
      </c>
      <c r="DD41" t="s">
        <v>133</v>
      </c>
      <c r="DG41">
        <v>14120403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0</v>
      </c>
      <c r="DO41">
        <v>0</v>
      </c>
      <c r="DP41">
        <v>1</v>
      </c>
      <c r="DQ41">
        <v>0</v>
      </c>
      <c r="DR41">
        <v>0</v>
      </c>
      <c r="DS41">
        <v>0</v>
      </c>
    </row>
    <row r="42" spans="1:123" x14ac:dyDescent="0.25">
      <c r="A42" t="str">
        <f>"11/29/2023 20:15:36.866"</f>
        <v>11/29/2023 20:15:36.866</v>
      </c>
      <c r="C42" t="str">
        <f t="shared" si="5"/>
        <v>FFDF53C0</v>
      </c>
      <c r="D42" t="s">
        <v>138</v>
      </c>
      <c r="E42">
        <v>3</v>
      </c>
      <c r="H42">
        <v>160</v>
      </c>
      <c r="I42" t="s">
        <v>124</v>
      </c>
      <c r="J42" t="s">
        <v>139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"20:15:36.516"</f>
        <v>20:15:36.516</v>
      </c>
      <c r="T42" t="str">
        <f>"20:15:35.316"</f>
        <v>20:15:35.316</v>
      </c>
      <c r="U42" t="str">
        <f t="shared" si="1"/>
        <v>AA0632</v>
      </c>
      <c r="V42">
        <v>0</v>
      </c>
      <c r="W42">
        <v>0</v>
      </c>
      <c r="X42">
        <v>2</v>
      </c>
      <c r="Y42">
        <v>0</v>
      </c>
      <c r="AA42">
        <v>0</v>
      </c>
      <c r="AB42">
        <v>8</v>
      </c>
      <c r="AC42">
        <v>3</v>
      </c>
      <c r="AD42">
        <v>0</v>
      </c>
      <c r="AE42">
        <v>9</v>
      </c>
      <c r="AF42" t="s">
        <v>126</v>
      </c>
      <c r="AG42">
        <v>0</v>
      </c>
      <c r="AH42">
        <v>0</v>
      </c>
      <c r="AI42">
        <v>2</v>
      </c>
      <c r="AJ42">
        <v>0</v>
      </c>
      <c r="AK42" t="s">
        <v>158</v>
      </c>
      <c r="AL42">
        <v>31.951996999999999</v>
      </c>
      <c r="AM42" t="s">
        <v>159</v>
      </c>
      <c r="AN42">
        <v>-101.115589</v>
      </c>
      <c r="AQ42" t="s">
        <v>129</v>
      </c>
      <c r="AR42">
        <v>-65</v>
      </c>
      <c r="AS42">
        <v>66</v>
      </c>
      <c r="AT42">
        <v>192</v>
      </c>
      <c r="BB42" t="str">
        <f t="shared" si="2"/>
        <v>1200</v>
      </c>
      <c r="BC42">
        <v>1</v>
      </c>
      <c r="BD42" t="str">
        <f t="shared" si="6"/>
        <v xml:space="preserve">N745MB  </v>
      </c>
      <c r="BE42">
        <v>1</v>
      </c>
      <c r="BG42">
        <v>0</v>
      </c>
      <c r="BH42">
        <v>0</v>
      </c>
      <c r="BI42">
        <v>0</v>
      </c>
      <c r="BL42" t="s">
        <v>130</v>
      </c>
      <c r="BM42">
        <v>1</v>
      </c>
      <c r="BN42">
        <v>0</v>
      </c>
      <c r="BO42">
        <v>0</v>
      </c>
      <c r="BP42">
        <v>0</v>
      </c>
      <c r="BT42">
        <v>0</v>
      </c>
      <c r="BU42">
        <v>0</v>
      </c>
      <c r="CE42" t="str">
        <f>"20:15:36.523"</f>
        <v>20:15:36.523</v>
      </c>
      <c r="CF42">
        <v>522687405</v>
      </c>
      <c r="CS42">
        <v>0</v>
      </c>
      <c r="CT42">
        <v>2</v>
      </c>
      <c r="CU42">
        <v>0</v>
      </c>
      <c r="CV42">
        <v>2</v>
      </c>
      <c r="CW42">
        <v>0</v>
      </c>
      <c r="CX42">
        <v>2</v>
      </c>
      <c r="CY42">
        <v>7</v>
      </c>
      <c r="CZ42" t="s">
        <v>131</v>
      </c>
      <c r="DA42">
        <v>116</v>
      </c>
      <c r="DB42">
        <v>0</v>
      </c>
      <c r="DC42" t="s">
        <v>132</v>
      </c>
      <c r="DD42" t="s">
        <v>133</v>
      </c>
      <c r="DG42">
        <v>14120403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0</v>
      </c>
      <c r="DO42">
        <v>0</v>
      </c>
      <c r="DP42">
        <v>1</v>
      </c>
      <c r="DQ42">
        <v>0</v>
      </c>
      <c r="DR42">
        <v>0</v>
      </c>
      <c r="DS42">
        <v>0</v>
      </c>
    </row>
    <row r="43" spans="1:123" x14ac:dyDescent="0.25">
      <c r="A43" t="str">
        <f>"11/29/2023 20:15:36.866"</f>
        <v>11/29/2023 20:15:36.866</v>
      </c>
      <c r="C43" t="str">
        <f t="shared" si="5"/>
        <v>FFDF53C0</v>
      </c>
      <c r="D43" t="s">
        <v>123</v>
      </c>
      <c r="E43">
        <v>1</v>
      </c>
      <c r="F43">
        <v>1001</v>
      </c>
      <c r="G43" t="s">
        <v>134</v>
      </c>
      <c r="J43" t="s">
        <v>125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"20:15:36.516"</f>
        <v>20:15:36.516</v>
      </c>
      <c r="T43" t="str">
        <f>"20:15:35.316"</f>
        <v>20:15:35.316</v>
      </c>
      <c r="U43" t="str">
        <f t="shared" si="1"/>
        <v>AA0632</v>
      </c>
      <c r="V43">
        <v>0</v>
      </c>
      <c r="W43">
        <v>0</v>
      </c>
      <c r="X43">
        <v>2</v>
      </c>
      <c r="Y43">
        <v>0</v>
      </c>
      <c r="AA43">
        <v>0</v>
      </c>
      <c r="AB43">
        <v>8</v>
      </c>
      <c r="AC43">
        <v>3</v>
      </c>
      <c r="AD43">
        <v>0</v>
      </c>
      <c r="AE43">
        <v>9</v>
      </c>
      <c r="AF43" t="s">
        <v>126</v>
      </c>
      <c r="AG43">
        <v>0</v>
      </c>
      <c r="AH43">
        <v>0</v>
      </c>
      <c r="AI43">
        <v>2</v>
      </c>
      <c r="AJ43">
        <v>0</v>
      </c>
      <c r="AK43" t="s">
        <v>158</v>
      </c>
      <c r="AL43">
        <v>31.951996999999999</v>
      </c>
      <c r="AM43" t="s">
        <v>159</v>
      </c>
      <c r="AN43">
        <v>-101.115589</v>
      </c>
      <c r="AQ43" t="s">
        <v>129</v>
      </c>
      <c r="AR43">
        <v>-65</v>
      </c>
      <c r="AS43">
        <v>66</v>
      </c>
      <c r="AT43">
        <v>192</v>
      </c>
      <c r="BB43" t="str">
        <f t="shared" si="2"/>
        <v>1200</v>
      </c>
      <c r="BC43">
        <v>1</v>
      </c>
      <c r="BD43" t="str">
        <f t="shared" si="6"/>
        <v xml:space="preserve">N745MB  </v>
      </c>
      <c r="BE43">
        <v>1</v>
      </c>
      <c r="BG43">
        <v>0</v>
      </c>
      <c r="BH43">
        <v>0</v>
      </c>
      <c r="BI43">
        <v>0</v>
      </c>
      <c r="BL43" t="s">
        <v>130</v>
      </c>
      <c r="BM43">
        <v>1</v>
      </c>
      <c r="BN43">
        <v>0</v>
      </c>
      <c r="BO43">
        <v>0</v>
      </c>
      <c r="BP43">
        <v>0</v>
      </c>
      <c r="BT43">
        <v>0</v>
      </c>
      <c r="BU43">
        <v>0</v>
      </c>
      <c r="CE43" t="str">
        <f>"20:15:36.523"</f>
        <v>20:15:36.523</v>
      </c>
      <c r="CF43">
        <v>522687405</v>
      </c>
      <c r="CS43">
        <v>0</v>
      </c>
      <c r="CT43">
        <v>2</v>
      </c>
      <c r="CU43">
        <v>0</v>
      </c>
      <c r="CV43">
        <v>2</v>
      </c>
      <c r="CW43">
        <v>0</v>
      </c>
      <c r="CX43">
        <v>2</v>
      </c>
      <c r="CY43">
        <v>7</v>
      </c>
      <c r="CZ43" t="s">
        <v>131</v>
      </c>
      <c r="DA43">
        <v>116</v>
      </c>
      <c r="DB43">
        <v>0</v>
      </c>
      <c r="DC43" t="s">
        <v>132</v>
      </c>
      <c r="DD43" t="s">
        <v>133</v>
      </c>
      <c r="DG43">
        <v>14120403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0</v>
      </c>
      <c r="DO43">
        <v>0</v>
      </c>
      <c r="DP43">
        <v>1</v>
      </c>
      <c r="DQ43">
        <v>0</v>
      </c>
      <c r="DR43">
        <v>0</v>
      </c>
      <c r="DS43">
        <v>0</v>
      </c>
    </row>
    <row r="44" spans="1:123" x14ac:dyDescent="0.25">
      <c r="A44" t="str">
        <f>"11/29/2023 20:15:38.272"</f>
        <v>11/29/2023 20:15:38.272</v>
      </c>
      <c r="C44" t="str">
        <f t="shared" si="5"/>
        <v>FFDF53C0</v>
      </c>
      <c r="D44" t="s">
        <v>135</v>
      </c>
      <c r="E44">
        <v>31</v>
      </c>
      <c r="H44">
        <v>285</v>
      </c>
      <c r="I44" t="s">
        <v>136</v>
      </c>
      <c r="J44" t="s">
        <v>137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 t="shared" ref="S44:T47" si="7">"20:15:37.859"</f>
        <v>20:15:37.859</v>
      </c>
      <c r="T44" t="str">
        <f t="shared" si="7"/>
        <v>20:15:37.859</v>
      </c>
      <c r="U44" t="str">
        <f t="shared" si="1"/>
        <v>AA0632</v>
      </c>
      <c r="V44">
        <v>0</v>
      </c>
      <c r="W44">
        <v>0</v>
      </c>
      <c r="X44">
        <v>2</v>
      </c>
      <c r="Y44">
        <v>0</v>
      </c>
      <c r="AA44">
        <v>0</v>
      </c>
      <c r="AB44">
        <v>8</v>
      </c>
      <c r="AC44">
        <v>3</v>
      </c>
      <c r="AD44">
        <v>0</v>
      </c>
      <c r="AE44">
        <v>9</v>
      </c>
      <c r="AF44" t="s">
        <v>126</v>
      </c>
      <c r="AG44">
        <v>0</v>
      </c>
      <c r="AH44">
        <v>0</v>
      </c>
      <c r="AI44">
        <v>2</v>
      </c>
      <c r="AJ44">
        <v>0</v>
      </c>
      <c r="AK44" t="s">
        <v>160</v>
      </c>
      <c r="AL44">
        <v>31.952404999999999</v>
      </c>
      <c r="AM44" t="s">
        <v>161</v>
      </c>
      <c r="AN44">
        <v>-101.116083</v>
      </c>
      <c r="AQ44" t="s">
        <v>129</v>
      </c>
      <c r="AR44">
        <v>-65</v>
      </c>
      <c r="AS44">
        <v>67</v>
      </c>
      <c r="AT44">
        <v>320</v>
      </c>
      <c r="BB44" t="str">
        <f t="shared" si="2"/>
        <v>1200</v>
      </c>
      <c r="BC44">
        <v>1</v>
      </c>
      <c r="BD44" t="str">
        <f t="shared" si="6"/>
        <v xml:space="preserve">N745MB  </v>
      </c>
      <c r="BE44">
        <v>1</v>
      </c>
      <c r="BG44">
        <v>0</v>
      </c>
      <c r="BH44">
        <v>0</v>
      </c>
      <c r="BI44">
        <v>0</v>
      </c>
      <c r="BL44" t="s">
        <v>130</v>
      </c>
      <c r="BM44">
        <v>1</v>
      </c>
      <c r="BN44">
        <v>0</v>
      </c>
      <c r="BO44">
        <v>0</v>
      </c>
      <c r="BP44">
        <v>0</v>
      </c>
      <c r="BT44">
        <v>0</v>
      </c>
      <c r="BU44">
        <v>0</v>
      </c>
      <c r="CE44" t="str">
        <f>"20:15:37.861"</f>
        <v>20:15:37.861</v>
      </c>
      <c r="CF44">
        <v>860601284</v>
      </c>
      <c r="CS44">
        <v>0</v>
      </c>
      <c r="CT44">
        <v>2</v>
      </c>
      <c r="CU44">
        <v>0</v>
      </c>
      <c r="CV44">
        <v>2</v>
      </c>
      <c r="CW44">
        <v>0</v>
      </c>
      <c r="CX44">
        <v>3</v>
      </c>
      <c r="CY44">
        <v>7</v>
      </c>
      <c r="CZ44" t="s">
        <v>131</v>
      </c>
      <c r="DA44">
        <v>116</v>
      </c>
      <c r="DB44">
        <v>3</v>
      </c>
      <c r="DC44" t="s">
        <v>132</v>
      </c>
      <c r="DD44" t="s">
        <v>133</v>
      </c>
      <c r="DG44">
        <v>8070183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1</v>
      </c>
      <c r="DQ44">
        <v>0</v>
      </c>
      <c r="DR44">
        <v>0</v>
      </c>
      <c r="DS44">
        <v>0</v>
      </c>
    </row>
    <row r="45" spans="1:123" x14ac:dyDescent="0.25">
      <c r="A45" t="str">
        <f>"11/29/2023 20:15:38.335"</f>
        <v>11/29/2023 20:15:38.335</v>
      </c>
      <c r="C45" t="str">
        <f t="shared" si="5"/>
        <v>FFDF53C0</v>
      </c>
      <c r="D45" t="s">
        <v>123</v>
      </c>
      <c r="E45">
        <v>14</v>
      </c>
      <c r="F45">
        <v>1014</v>
      </c>
      <c r="G45" t="s">
        <v>124</v>
      </c>
      <c r="J45" t="s">
        <v>125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 t="shared" si="7"/>
        <v>20:15:37.859</v>
      </c>
      <c r="T45" t="str">
        <f t="shared" si="7"/>
        <v>20:15:37.859</v>
      </c>
      <c r="U45" t="str">
        <f t="shared" si="1"/>
        <v>AA0632</v>
      </c>
      <c r="V45">
        <v>0</v>
      </c>
      <c r="W45">
        <v>0</v>
      </c>
      <c r="X45">
        <v>2</v>
      </c>
      <c r="Y45">
        <v>0</v>
      </c>
      <c r="AA45">
        <v>0</v>
      </c>
      <c r="AB45">
        <v>8</v>
      </c>
      <c r="AC45">
        <v>3</v>
      </c>
      <c r="AD45">
        <v>0</v>
      </c>
      <c r="AE45">
        <v>9</v>
      </c>
      <c r="AF45" t="s">
        <v>126</v>
      </c>
      <c r="AG45">
        <v>0</v>
      </c>
      <c r="AH45">
        <v>0</v>
      </c>
      <c r="AI45">
        <v>2</v>
      </c>
      <c r="AJ45">
        <v>0</v>
      </c>
      <c r="AK45" t="s">
        <v>160</v>
      </c>
      <c r="AL45">
        <v>31.952404999999999</v>
      </c>
      <c r="AM45" t="s">
        <v>161</v>
      </c>
      <c r="AN45">
        <v>-101.116083</v>
      </c>
      <c r="AQ45" t="s">
        <v>129</v>
      </c>
      <c r="AR45">
        <v>-65</v>
      </c>
      <c r="AS45">
        <v>67</v>
      </c>
      <c r="AT45">
        <v>320</v>
      </c>
      <c r="BB45" t="str">
        <f t="shared" si="2"/>
        <v>1200</v>
      </c>
      <c r="BC45">
        <v>1</v>
      </c>
      <c r="BD45" t="str">
        <f t="shared" si="6"/>
        <v xml:space="preserve">N745MB  </v>
      </c>
      <c r="BE45">
        <v>1</v>
      </c>
      <c r="BG45">
        <v>0</v>
      </c>
      <c r="BH45">
        <v>0</v>
      </c>
      <c r="BI45">
        <v>0</v>
      </c>
      <c r="BL45" t="s">
        <v>130</v>
      </c>
      <c r="BM45">
        <v>1</v>
      </c>
      <c r="BN45">
        <v>0</v>
      </c>
      <c r="BO45">
        <v>0</v>
      </c>
      <c r="BP45">
        <v>0</v>
      </c>
      <c r="BT45">
        <v>0</v>
      </c>
      <c r="BU45">
        <v>0</v>
      </c>
      <c r="CE45" t="str">
        <f>"20:15:37.861"</f>
        <v>20:15:37.861</v>
      </c>
      <c r="CF45">
        <v>860601284</v>
      </c>
      <c r="CS45">
        <v>0</v>
      </c>
      <c r="CT45">
        <v>2</v>
      </c>
      <c r="CU45">
        <v>0</v>
      </c>
      <c r="CV45">
        <v>2</v>
      </c>
      <c r="CW45">
        <v>0</v>
      </c>
      <c r="CX45">
        <v>3</v>
      </c>
      <c r="CY45">
        <v>7</v>
      </c>
      <c r="CZ45" t="s">
        <v>131</v>
      </c>
      <c r="DA45">
        <v>116</v>
      </c>
      <c r="DB45">
        <v>3</v>
      </c>
      <c r="DC45" t="s">
        <v>132</v>
      </c>
      <c r="DD45" t="s">
        <v>133</v>
      </c>
      <c r="DG45">
        <v>8070183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0</v>
      </c>
      <c r="DO45">
        <v>0</v>
      </c>
      <c r="DP45">
        <v>1</v>
      </c>
      <c r="DQ45">
        <v>0</v>
      </c>
      <c r="DR45">
        <v>0</v>
      </c>
      <c r="DS45">
        <v>0</v>
      </c>
    </row>
    <row r="46" spans="1:123" x14ac:dyDescent="0.25">
      <c r="A46" t="str">
        <f>"11/29/2023 20:15:38.335"</f>
        <v>11/29/2023 20:15:38.335</v>
      </c>
      <c r="C46" t="str">
        <f t="shared" si="5"/>
        <v>FFDF53C0</v>
      </c>
      <c r="D46" t="s">
        <v>138</v>
      </c>
      <c r="E46">
        <v>3</v>
      </c>
      <c r="H46">
        <v>160</v>
      </c>
      <c r="I46" t="s">
        <v>124</v>
      </c>
      <c r="J46" t="s">
        <v>139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 t="shared" si="7"/>
        <v>20:15:37.859</v>
      </c>
      <c r="T46" t="str">
        <f t="shared" si="7"/>
        <v>20:15:37.859</v>
      </c>
      <c r="U46" t="str">
        <f t="shared" si="1"/>
        <v>AA0632</v>
      </c>
      <c r="V46">
        <v>0</v>
      </c>
      <c r="W46">
        <v>0</v>
      </c>
      <c r="X46">
        <v>2</v>
      </c>
      <c r="Y46">
        <v>0</v>
      </c>
      <c r="AA46">
        <v>0</v>
      </c>
      <c r="AB46">
        <v>8</v>
      </c>
      <c r="AC46">
        <v>3</v>
      </c>
      <c r="AD46">
        <v>0</v>
      </c>
      <c r="AE46">
        <v>9</v>
      </c>
      <c r="AF46" t="s">
        <v>126</v>
      </c>
      <c r="AG46">
        <v>0</v>
      </c>
      <c r="AH46">
        <v>0</v>
      </c>
      <c r="AI46">
        <v>2</v>
      </c>
      <c r="AJ46">
        <v>0</v>
      </c>
      <c r="AK46" t="s">
        <v>160</v>
      </c>
      <c r="AL46">
        <v>31.952404999999999</v>
      </c>
      <c r="AM46" t="s">
        <v>161</v>
      </c>
      <c r="AN46">
        <v>-101.116083</v>
      </c>
      <c r="AQ46" t="s">
        <v>129</v>
      </c>
      <c r="AR46">
        <v>-65</v>
      </c>
      <c r="AS46">
        <v>67</v>
      </c>
      <c r="AT46">
        <v>320</v>
      </c>
      <c r="BB46" t="str">
        <f t="shared" si="2"/>
        <v>1200</v>
      </c>
      <c r="BC46">
        <v>1</v>
      </c>
      <c r="BD46" t="str">
        <f t="shared" si="6"/>
        <v xml:space="preserve">N745MB  </v>
      </c>
      <c r="BE46">
        <v>1</v>
      </c>
      <c r="BG46">
        <v>0</v>
      </c>
      <c r="BH46">
        <v>0</v>
      </c>
      <c r="BI46">
        <v>0</v>
      </c>
      <c r="BL46" t="s">
        <v>130</v>
      </c>
      <c r="BM46">
        <v>1</v>
      </c>
      <c r="BN46">
        <v>0</v>
      </c>
      <c r="BO46">
        <v>0</v>
      </c>
      <c r="BP46">
        <v>0</v>
      </c>
      <c r="BT46">
        <v>0</v>
      </c>
      <c r="BU46">
        <v>0</v>
      </c>
      <c r="CE46" t="str">
        <f>"20:15:37.861"</f>
        <v>20:15:37.861</v>
      </c>
      <c r="CF46">
        <v>860601284</v>
      </c>
      <c r="CS46">
        <v>0</v>
      </c>
      <c r="CT46">
        <v>2</v>
      </c>
      <c r="CU46">
        <v>0</v>
      </c>
      <c r="CV46">
        <v>2</v>
      </c>
      <c r="CW46">
        <v>0</v>
      </c>
      <c r="CX46">
        <v>3</v>
      </c>
      <c r="CY46">
        <v>7</v>
      </c>
      <c r="CZ46" t="s">
        <v>131</v>
      </c>
      <c r="DA46">
        <v>116</v>
      </c>
      <c r="DB46">
        <v>3</v>
      </c>
      <c r="DC46" t="s">
        <v>132</v>
      </c>
      <c r="DD46" t="s">
        <v>133</v>
      </c>
      <c r="DG46">
        <v>8070183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0</v>
      </c>
      <c r="DO46">
        <v>0</v>
      </c>
      <c r="DP46">
        <v>1</v>
      </c>
      <c r="DQ46">
        <v>0</v>
      </c>
      <c r="DR46">
        <v>0</v>
      </c>
      <c r="DS46">
        <v>0</v>
      </c>
    </row>
    <row r="47" spans="1:123" x14ac:dyDescent="0.25">
      <c r="A47" t="str">
        <f>"11/29/2023 20:15:38.366"</f>
        <v>11/29/2023 20:15:38.366</v>
      </c>
      <c r="C47" t="str">
        <f t="shared" si="5"/>
        <v>FFDF53C0</v>
      </c>
      <c r="D47" t="s">
        <v>123</v>
      </c>
      <c r="E47">
        <v>1</v>
      </c>
      <c r="F47">
        <v>1001</v>
      </c>
      <c r="G47" t="s">
        <v>134</v>
      </c>
      <c r="J47" t="s">
        <v>125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 t="shared" si="7"/>
        <v>20:15:37.859</v>
      </c>
      <c r="T47" t="str">
        <f t="shared" si="7"/>
        <v>20:15:37.859</v>
      </c>
      <c r="U47" t="str">
        <f t="shared" si="1"/>
        <v>AA0632</v>
      </c>
      <c r="V47">
        <v>0</v>
      </c>
      <c r="W47">
        <v>0</v>
      </c>
      <c r="X47">
        <v>2</v>
      </c>
      <c r="Y47">
        <v>0</v>
      </c>
      <c r="AA47">
        <v>0</v>
      </c>
      <c r="AB47">
        <v>8</v>
      </c>
      <c r="AC47">
        <v>3</v>
      </c>
      <c r="AD47">
        <v>0</v>
      </c>
      <c r="AE47">
        <v>9</v>
      </c>
      <c r="AF47" t="s">
        <v>126</v>
      </c>
      <c r="AG47">
        <v>0</v>
      </c>
      <c r="AH47">
        <v>0</v>
      </c>
      <c r="AI47">
        <v>2</v>
      </c>
      <c r="AJ47">
        <v>0</v>
      </c>
      <c r="AK47" t="s">
        <v>160</v>
      </c>
      <c r="AL47">
        <v>31.952404999999999</v>
      </c>
      <c r="AM47" t="s">
        <v>161</v>
      </c>
      <c r="AN47">
        <v>-101.116083</v>
      </c>
      <c r="AQ47" t="s">
        <v>129</v>
      </c>
      <c r="AR47">
        <v>-65</v>
      </c>
      <c r="AS47">
        <v>67</v>
      </c>
      <c r="AT47">
        <v>320</v>
      </c>
      <c r="BB47" t="str">
        <f t="shared" si="2"/>
        <v>1200</v>
      </c>
      <c r="BC47">
        <v>1</v>
      </c>
      <c r="BD47" t="str">
        <f t="shared" si="6"/>
        <v xml:space="preserve">N745MB  </v>
      </c>
      <c r="BE47">
        <v>1</v>
      </c>
      <c r="BG47">
        <v>0</v>
      </c>
      <c r="BH47">
        <v>0</v>
      </c>
      <c r="BI47">
        <v>0</v>
      </c>
      <c r="BL47" t="s">
        <v>130</v>
      </c>
      <c r="BM47">
        <v>1</v>
      </c>
      <c r="BN47">
        <v>0</v>
      </c>
      <c r="BO47">
        <v>0</v>
      </c>
      <c r="BP47">
        <v>0</v>
      </c>
      <c r="BT47">
        <v>0</v>
      </c>
      <c r="BU47">
        <v>0</v>
      </c>
      <c r="CE47" t="str">
        <f>"20:15:37.861"</f>
        <v>20:15:37.861</v>
      </c>
      <c r="CF47">
        <v>860601284</v>
      </c>
      <c r="CS47">
        <v>0</v>
      </c>
      <c r="CT47">
        <v>2</v>
      </c>
      <c r="CU47">
        <v>0</v>
      </c>
      <c r="CV47">
        <v>2</v>
      </c>
      <c r="CW47">
        <v>0</v>
      </c>
      <c r="CX47">
        <v>3</v>
      </c>
      <c r="CY47">
        <v>7</v>
      </c>
      <c r="CZ47" t="s">
        <v>131</v>
      </c>
      <c r="DA47">
        <v>116</v>
      </c>
      <c r="DB47">
        <v>3</v>
      </c>
      <c r="DC47" t="s">
        <v>132</v>
      </c>
      <c r="DD47" t="s">
        <v>133</v>
      </c>
      <c r="DG47">
        <v>8070183</v>
      </c>
      <c r="DI47">
        <v>0</v>
      </c>
      <c r="DJ47">
        <v>0</v>
      </c>
      <c r="DK47">
        <v>1</v>
      </c>
      <c r="DL47">
        <v>0</v>
      </c>
      <c r="DM47">
        <v>0</v>
      </c>
      <c r="DN47">
        <v>0</v>
      </c>
      <c r="DO47">
        <v>0</v>
      </c>
      <c r="DP47">
        <v>1</v>
      </c>
      <c r="DQ47">
        <v>0</v>
      </c>
      <c r="DR47">
        <v>0</v>
      </c>
      <c r="DS47">
        <v>0</v>
      </c>
    </row>
    <row r="48" spans="1:123" x14ac:dyDescent="0.25">
      <c r="A48" t="str">
        <f>"11/29/2023 20:15:39.757"</f>
        <v>11/29/2023 20:15:39.757</v>
      </c>
      <c r="C48" t="str">
        <f t="shared" si="5"/>
        <v>FFDF53C0</v>
      </c>
      <c r="D48" t="s">
        <v>135</v>
      </c>
      <c r="E48">
        <v>31</v>
      </c>
      <c r="H48">
        <v>285</v>
      </c>
      <c r="I48" t="s">
        <v>136</v>
      </c>
      <c r="J48" t="s">
        <v>137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 t="shared" ref="S48:T51" si="8">"20:15:39.273"</f>
        <v>20:15:39.273</v>
      </c>
      <c r="T48" t="str">
        <f t="shared" si="8"/>
        <v>20:15:39.273</v>
      </c>
      <c r="U48" t="str">
        <f t="shared" si="1"/>
        <v>AA0632</v>
      </c>
      <c r="V48">
        <v>0</v>
      </c>
      <c r="W48">
        <v>0</v>
      </c>
      <c r="X48">
        <v>2</v>
      </c>
      <c r="Y48">
        <v>0</v>
      </c>
      <c r="AA48">
        <v>0</v>
      </c>
      <c r="AB48">
        <v>8</v>
      </c>
      <c r="AC48">
        <v>3</v>
      </c>
      <c r="AD48">
        <v>0</v>
      </c>
      <c r="AE48">
        <v>9</v>
      </c>
      <c r="AF48" t="s">
        <v>126</v>
      </c>
      <c r="AG48">
        <v>0</v>
      </c>
      <c r="AH48">
        <v>0</v>
      </c>
      <c r="AI48">
        <v>2</v>
      </c>
      <c r="AJ48">
        <v>0</v>
      </c>
      <c r="AK48" t="s">
        <v>162</v>
      </c>
      <c r="AL48">
        <v>31.952856000000001</v>
      </c>
      <c r="AM48" t="s">
        <v>163</v>
      </c>
      <c r="AN48">
        <v>-101.11657599999999</v>
      </c>
      <c r="AQ48" t="s">
        <v>129</v>
      </c>
      <c r="AR48">
        <v>-65</v>
      </c>
      <c r="AS48">
        <v>66</v>
      </c>
      <c r="AT48">
        <v>448</v>
      </c>
      <c r="BB48" t="str">
        <f t="shared" si="2"/>
        <v>1200</v>
      </c>
      <c r="BC48">
        <v>1</v>
      </c>
      <c r="BD48" t="str">
        <f t="shared" si="6"/>
        <v xml:space="preserve">N745MB  </v>
      </c>
      <c r="BE48">
        <v>1</v>
      </c>
      <c r="BG48">
        <v>0</v>
      </c>
      <c r="BH48">
        <v>0</v>
      </c>
      <c r="BI48">
        <v>0</v>
      </c>
      <c r="BL48" t="s">
        <v>130</v>
      </c>
      <c r="BM48">
        <v>1</v>
      </c>
      <c r="BN48">
        <v>0</v>
      </c>
      <c r="BO48">
        <v>0</v>
      </c>
      <c r="BP48">
        <v>0</v>
      </c>
      <c r="BT48">
        <v>0</v>
      </c>
      <c r="BU48">
        <v>0</v>
      </c>
      <c r="CE48" t="str">
        <f>"20:15:39.280"</f>
        <v>20:15:39.280</v>
      </c>
      <c r="CF48">
        <v>280498584</v>
      </c>
      <c r="CS48">
        <v>0</v>
      </c>
      <c r="CT48">
        <v>2</v>
      </c>
      <c r="CU48">
        <v>0</v>
      </c>
      <c r="CV48">
        <v>2</v>
      </c>
      <c r="CW48">
        <v>0</v>
      </c>
      <c r="CX48">
        <v>3</v>
      </c>
      <c r="CY48">
        <v>7</v>
      </c>
      <c r="CZ48" t="s">
        <v>131</v>
      </c>
      <c r="DA48">
        <v>116</v>
      </c>
      <c r="DB48">
        <v>3</v>
      </c>
      <c r="DC48" t="s">
        <v>132</v>
      </c>
      <c r="DD48" t="s">
        <v>133</v>
      </c>
      <c r="DG48">
        <v>8071011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1</v>
      </c>
      <c r="DQ48">
        <v>0</v>
      </c>
      <c r="DR48">
        <v>0</v>
      </c>
      <c r="DS48">
        <v>0</v>
      </c>
    </row>
    <row r="49" spans="1:123" x14ac:dyDescent="0.25">
      <c r="A49" t="str">
        <f>"11/29/2023 20:15:39.757"</f>
        <v>11/29/2023 20:15:39.757</v>
      </c>
      <c r="C49" t="str">
        <f t="shared" si="5"/>
        <v>FFDF53C0</v>
      </c>
      <c r="D49" t="s">
        <v>138</v>
      </c>
      <c r="E49">
        <v>3</v>
      </c>
      <c r="H49">
        <v>160</v>
      </c>
      <c r="I49" t="s">
        <v>124</v>
      </c>
      <c r="J49" t="s">
        <v>139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 t="shared" si="8"/>
        <v>20:15:39.273</v>
      </c>
      <c r="T49" t="str">
        <f t="shared" si="8"/>
        <v>20:15:39.273</v>
      </c>
      <c r="U49" t="str">
        <f t="shared" si="1"/>
        <v>AA0632</v>
      </c>
      <c r="V49">
        <v>0</v>
      </c>
      <c r="W49">
        <v>0</v>
      </c>
      <c r="X49">
        <v>2</v>
      </c>
      <c r="Y49">
        <v>0</v>
      </c>
      <c r="AA49">
        <v>0</v>
      </c>
      <c r="AB49">
        <v>8</v>
      </c>
      <c r="AC49">
        <v>3</v>
      </c>
      <c r="AD49">
        <v>0</v>
      </c>
      <c r="AE49">
        <v>9</v>
      </c>
      <c r="AF49" t="s">
        <v>126</v>
      </c>
      <c r="AG49">
        <v>0</v>
      </c>
      <c r="AH49">
        <v>0</v>
      </c>
      <c r="AI49">
        <v>2</v>
      </c>
      <c r="AJ49">
        <v>0</v>
      </c>
      <c r="AK49" t="s">
        <v>162</v>
      </c>
      <c r="AL49">
        <v>31.952856000000001</v>
      </c>
      <c r="AM49" t="s">
        <v>163</v>
      </c>
      <c r="AN49">
        <v>-101.11657599999999</v>
      </c>
      <c r="AQ49" t="s">
        <v>129</v>
      </c>
      <c r="AR49">
        <v>-65</v>
      </c>
      <c r="AS49">
        <v>66</v>
      </c>
      <c r="AT49">
        <v>448</v>
      </c>
      <c r="BB49" t="str">
        <f t="shared" si="2"/>
        <v>1200</v>
      </c>
      <c r="BC49">
        <v>1</v>
      </c>
      <c r="BD49" t="str">
        <f t="shared" si="6"/>
        <v xml:space="preserve">N745MB  </v>
      </c>
      <c r="BE49">
        <v>1</v>
      </c>
      <c r="BG49">
        <v>0</v>
      </c>
      <c r="BH49">
        <v>0</v>
      </c>
      <c r="BI49">
        <v>0</v>
      </c>
      <c r="BL49" t="s">
        <v>130</v>
      </c>
      <c r="BM49">
        <v>1</v>
      </c>
      <c r="BN49">
        <v>0</v>
      </c>
      <c r="BO49">
        <v>0</v>
      </c>
      <c r="BP49">
        <v>0</v>
      </c>
      <c r="BT49">
        <v>0</v>
      </c>
      <c r="BU49">
        <v>0</v>
      </c>
      <c r="CE49" t="str">
        <f>"20:15:39.280"</f>
        <v>20:15:39.280</v>
      </c>
      <c r="CF49">
        <v>280498584</v>
      </c>
      <c r="CS49">
        <v>0</v>
      </c>
      <c r="CT49">
        <v>2</v>
      </c>
      <c r="CU49">
        <v>0</v>
      </c>
      <c r="CV49">
        <v>2</v>
      </c>
      <c r="CW49">
        <v>0</v>
      </c>
      <c r="CX49">
        <v>3</v>
      </c>
      <c r="CY49">
        <v>7</v>
      </c>
      <c r="CZ49" t="s">
        <v>131</v>
      </c>
      <c r="DA49">
        <v>116</v>
      </c>
      <c r="DB49">
        <v>3</v>
      </c>
      <c r="DC49" t="s">
        <v>132</v>
      </c>
      <c r="DD49" t="s">
        <v>133</v>
      </c>
      <c r="DG49">
        <v>8071011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0</v>
      </c>
      <c r="DO49">
        <v>0</v>
      </c>
      <c r="DP49">
        <v>1</v>
      </c>
      <c r="DQ49">
        <v>0</v>
      </c>
      <c r="DR49">
        <v>0</v>
      </c>
      <c r="DS49">
        <v>0</v>
      </c>
    </row>
    <row r="50" spans="1:123" x14ac:dyDescent="0.25">
      <c r="A50" t="str">
        <f>"11/29/2023 20:15:39.757"</f>
        <v>11/29/2023 20:15:39.757</v>
      </c>
      <c r="C50" t="str">
        <f t="shared" si="5"/>
        <v>FFDF53C0</v>
      </c>
      <c r="D50" t="s">
        <v>123</v>
      </c>
      <c r="E50">
        <v>14</v>
      </c>
      <c r="F50">
        <v>1014</v>
      </c>
      <c r="G50" t="s">
        <v>124</v>
      </c>
      <c r="J50" t="s">
        <v>125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 t="shared" si="8"/>
        <v>20:15:39.273</v>
      </c>
      <c r="T50" t="str">
        <f t="shared" si="8"/>
        <v>20:15:39.273</v>
      </c>
      <c r="U50" t="str">
        <f t="shared" si="1"/>
        <v>AA0632</v>
      </c>
      <c r="V50">
        <v>0</v>
      </c>
      <c r="W50">
        <v>0</v>
      </c>
      <c r="X50">
        <v>2</v>
      </c>
      <c r="Y50">
        <v>0</v>
      </c>
      <c r="AA50">
        <v>0</v>
      </c>
      <c r="AB50">
        <v>8</v>
      </c>
      <c r="AC50">
        <v>3</v>
      </c>
      <c r="AD50">
        <v>0</v>
      </c>
      <c r="AE50">
        <v>9</v>
      </c>
      <c r="AF50" t="s">
        <v>126</v>
      </c>
      <c r="AG50">
        <v>0</v>
      </c>
      <c r="AH50">
        <v>0</v>
      </c>
      <c r="AI50">
        <v>2</v>
      </c>
      <c r="AJ50">
        <v>0</v>
      </c>
      <c r="AK50" t="s">
        <v>162</v>
      </c>
      <c r="AL50">
        <v>31.952856000000001</v>
      </c>
      <c r="AM50" t="s">
        <v>163</v>
      </c>
      <c r="AN50">
        <v>-101.11657599999999</v>
      </c>
      <c r="AQ50" t="s">
        <v>129</v>
      </c>
      <c r="AR50">
        <v>-65</v>
      </c>
      <c r="AS50">
        <v>66</v>
      </c>
      <c r="AT50">
        <v>448</v>
      </c>
      <c r="BB50" t="str">
        <f t="shared" si="2"/>
        <v>1200</v>
      </c>
      <c r="BC50">
        <v>1</v>
      </c>
      <c r="BD50" t="str">
        <f t="shared" si="6"/>
        <v xml:space="preserve">N745MB  </v>
      </c>
      <c r="BE50">
        <v>1</v>
      </c>
      <c r="BG50">
        <v>0</v>
      </c>
      <c r="BH50">
        <v>0</v>
      </c>
      <c r="BI50">
        <v>0</v>
      </c>
      <c r="BL50" t="s">
        <v>130</v>
      </c>
      <c r="BM50">
        <v>1</v>
      </c>
      <c r="BN50">
        <v>0</v>
      </c>
      <c r="BO50">
        <v>0</v>
      </c>
      <c r="BP50">
        <v>0</v>
      </c>
      <c r="BT50">
        <v>0</v>
      </c>
      <c r="BU50">
        <v>0</v>
      </c>
      <c r="CE50" t="str">
        <f>"20:15:39.280"</f>
        <v>20:15:39.280</v>
      </c>
      <c r="CF50">
        <v>280498584</v>
      </c>
      <c r="CS50">
        <v>0</v>
      </c>
      <c r="CT50">
        <v>2</v>
      </c>
      <c r="CU50">
        <v>0</v>
      </c>
      <c r="CV50">
        <v>2</v>
      </c>
      <c r="CW50">
        <v>0</v>
      </c>
      <c r="CX50">
        <v>3</v>
      </c>
      <c r="CY50">
        <v>7</v>
      </c>
      <c r="CZ50" t="s">
        <v>131</v>
      </c>
      <c r="DA50">
        <v>116</v>
      </c>
      <c r="DB50">
        <v>3</v>
      </c>
      <c r="DC50" t="s">
        <v>132</v>
      </c>
      <c r="DD50" t="s">
        <v>133</v>
      </c>
      <c r="DG50">
        <v>8071011</v>
      </c>
      <c r="DI50">
        <v>0</v>
      </c>
      <c r="DJ50">
        <v>0</v>
      </c>
      <c r="DK50">
        <v>1</v>
      </c>
      <c r="DL50">
        <v>0</v>
      </c>
      <c r="DM50">
        <v>0</v>
      </c>
      <c r="DN50">
        <v>0</v>
      </c>
      <c r="DO50">
        <v>0</v>
      </c>
      <c r="DP50">
        <v>1</v>
      </c>
      <c r="DQ50">
        <v>0</v>
      </c>
      <c r="DR50">
        <v>0</v>
      </c>
      <c r="DS50">
        <v>0</v>
      </c>
    </row>
    <row r="51" spans="1:123" x14ac:dyDescent="0.25">
      <c r="A51" t="str">
        <f>"11/29/2023 20:15:39.757"</f>
        <v>11/29/2023 20:15:39.757</v>
      </c>
      <c r="C51" t="str">
        <f t="shared" si="5"/>
        <v>FFDF53C0</v>
      </c>
      <c r="D51" t="s">
        <v>123</v>
      </c>
      <c r="E51">
        <v>1</v>
      </c>
      <c r="F51">
        <v>1001</v>
      </c>
      <c r="G51" t="s">
        <v>134</v>
      </c>
      <c r="J51" t="s">
        <v>125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 t="shared" si="8"/>
        <v>20:15:39.273</v>
      </c>
      <c r="T51" t="str">
        <f t="shared" si="8"/>
        <v>20:15:39.273</v>
      </c>
      <c r="U51" t="str">
        <f t="shared" si="1"/>
        <v>AA0632</v>
      </c>
      <c r="V51">
        <v>0</v>
      </c>
      <c r="W51">
        <v>0</v>
      </c>
      <c r="X51">
        <v>2</v>
      </c>
      <c r="Y51">
        <v>0</v>
      </c>
      <c r="AA51">
        <v>0</v>
      </c>
      <c r="AB51">
        <v>8</v>
      </c>
      <c r="AC51">
        <v>3</v>
      </c>
      <c r="AD51">
        <v>0</v>
      </c>
      <c r="AE51">
        <v>9</v>
      </c>
      <c r="AF51" t="s">
        <v>126</v>
      </c>
      <c r="AG51">
        <v>0</v>
      </c>
      <c r="AH51">
        <v>0</v>
      </c>
      <c r="AI51">
        <v>2</v>
      </c>
      <c r="AJ51">
        <v>0</v>
      </c>
      <c r="AK51" t="s">
        <v>162</v>
      </c>
      <c r="AL51">
        <v>31.952856000000001</v>
      </c>
      <c r="AM51" t="s">
        <v>163</v>
      </c>
      <c r="AN51">
        <v>-101.11657599999999</v>
      </c>
      <c r="AQ51" t="s">
        <v>129</v>
      </c>
      <c r="AR51">
        <v>-65</v>
      </c>
      <c r="AS51">
        <v>66</v>
      </c>
      <c r="AT51">
        <v>448</v>
      </c>
      <c r="BB51" t="str">
        <f t="shared" si="2"/>
        <v>1200</v>
      </c>
      <c r="BC51">
        <v>1</v>
      </c>
      <c r="BD51" t="str">
        <f t="shared" si="6"/>
        <v xml:space="preserve">N745MB  </v>
      </c>
      <c r="BE51">
        <v>1</v>
      </c>
      <c r="BG51">
        <v>0</v>
      </c>
      <c r="BH51">
        <v>0</v>
      </c>
      <c r="BI51">
        <v>0</v>
      </c>
      <c r="BL51" t="s">
        <v>130</v>
      </c>
      <c r="BM51">
        <v>1</v>
      </c>
      <c r="BN51">
        <v>0</v>
      </c>
      <c r="BO51">
        <v>0</v>
      </c>
      <c r="BP51">
        <v>0</v>
      </c>
      <c r="BT51">
        <v>0</v>
      </c>
      <c r="BU51">
        <v>0</v>
      </c>
      <c r="CE51" t="str">
        <f>"20:15:39.280"</f>
        <v>20:15:39.280</v>
      </c>
      <c r="CF51">
        <v>280498584</v>
      </c>
      <c r="CS51">
        <v>0</v>
      </c>
      <c r="CT51">
        <v>2</v>
      </c>
      <c r="CU51">
        <v>0</v>
      </c>
      <c r="CV51">
        <v>2</v>
      </c>
      <c r="CW51">
        <v>0</v>
      </c>
      <c r="CX51">
        <v>3</v>
      </c>
      <c r="CY51">
        <v>7</v>
      </c>
      <c r="CZ51" t="s">
        <v>131</v>
      </c>
      <c r="DA51">
        <v>116</v>
      </c>
      <c r="DB51">
        <v>3</v>
      </c>
      <c r="DC51" t="s">
        <v>132</v>
      </c>
      <c r="DD51" t="s">
        <v>133</v>
      </c>
      <c r="DG51">
        <v>8071011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1</v>
      </c>
      <c r="DQ51">
        <v>0</v>
      </c>
      <c r="DR51">
        <v>0</v>
      </c>
      <c r="DS51">
        <v>0</v>
      </c>
    </row>
    <row r="52" spans="1:123" x14ac:dyDescent="0.25">
      <c r="A52" t="str">
        <f>"11/29/2023 20:15:41.007"</f>
        <v>11/29/2023 20:15:41.007</v>
      </c>
      <c r="C52" t="str">
        <f t="shared" ref="C52:C57" si="9">"FFD353C0"</f>
        <v>FFD353C0</v>
      </c>
      <c r="D52" t="s">
        <v>164</v>
      </c>
      <c r="E52">
        <v>24</v>
      </c>
      <c r="F52">
        <v>2024</v>
      </c>
      <c r="G52" t="s">
        <v>165</v>
      </c>
      <c r="J52" t="s">
        <v>166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"20:15:40.258"</f>
        <v>20:15:40.258</v>
      </c>
      <c r="T52" t="str">
        <f>"20:15:37.858"</f>
        <v>20:15:37.858</v>
      </c>
      <c r="U52" t="str">
        <f t="shared" si="1"/>
        <v>AA0632</v>
      </c>
      <c r="V52">
        <v>0</v>
      </c>
      <c r="W52">
        <v>0</v>
      </c>
      <c r="X52">
        <v>2</v>
      </c>
      <c r="Y52">
        <v>0</v>
      </c>
      <c r="AA52">
        <v>0</v>
      </c>
      <c r="AB52">
        <v>8</v>
      </c>
      <c r="AC52">
        <v>3</v>
      </c>
      <c r="AD52">
        <v>0</v>
      </c>
      <c r="AE52">
        <v>9</v>
      </c>
      <c r="AF52" t="s">
        <v>126</v>
      </c>
      <c r="AG52">
        <v>0</v>
      </c>
      <c r="AH52">
        <v>0</v>
      </c>
      <c r="AI52">
        <v>2</v>
      </c>
      <c r="AJ52">
        <v>0</v>
      </c>
      <c r="AK52" t="s">
        <v>167</v>
      </c>
      <c r="AL52">
        <v>31.953135</v>
      </c>
      <c r="AM52" t="s">
        <v>168</v>
      </c>
      <c r="AN52">
        <v>-101.11689800000001</v>
      </c>
      <c r="AQ52" t="s">
        <v>129</v>
      </c>
      <c r="AR52">
        <v>-65</v>
      </c>
      <c r="AS52">
        <v>67</v>
      </c>
      <c r="AT52">
        <v>320</v>
      </c>
      <c r="BB52" t="str">
        <f t="shared" si="2"/>
        <v>1200</v>
      </c>
      <c r="BC52">
        <v>1</v>
      </c>
      <c r="BG52">
        <v>0</v>
      </c>
      <c r="BH52">
        <v>0</v>
      </c>
      <c r="BI52">
        <v>0</v>
      </c>
      <c r="BL52" t="s">
        <v>130</v>
      </c>
      <c r="BM52">
        <v>1</v>
      </c>
      <c r="BN52">
        <v>0</v>
      </c>
      <c r="BO52">
        <v>0</v>
      </c>
      <c r="BP52">
        <v>0</v>
      </c>
      <c r="BT52">
        <v>0</v>
      </c>
      <c r="BU52">
        <v>0</v>
      </c>
      <c r="CE52" t="str">
        <f>"20:15:40.264"</f>
        <v>20:15:40.264</v>
      </c>
      <c r="CF52">
        <v>264447874</v>
      </c>
      <c r="CS52">
        <v>0</v>
      </c>
      <c r="CT52">
        <v>2</v>
      </c>
      <c r="CU52">
        <v>0</v>
      </c>
      <c r="CV52">
        <v>2</v>
      </c>
      <c r="CW52">
        <v>0</v>
      </c>
      <c r="CX52">
        <v>2</v>
      </c>
      <c r="CY52">
        <v>7</v>
      </c>
      <c r="CZ52" t="s">
        <v>131</v>
      </c>
      <c r="DA52">
        <v>483</v>
      </c>
      <c r="DB52">
        <v>1</v>
      </c>
      <c r="DC52" t="s">
        <v>169</v>
      </c>
      <c r="DD52" t="s">
        <v>170</v>
      </c>
      <c r="DG52">
        <v>7284478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1</v>
      </c>
      <c r="DQ52">
        <v>0</v>
      </c>
      <c r="DR52">
        <v>0</v>
      </c>
      <c r="DS52">
        <v>1</v>
      </c>
    </row>
    <row r="53" spans="1:123" x14ac:dyDescent="0.25">
      <c r="A53" t="str">
        <f>"11/29/2023 20:15:41.069"</f>
        <v>11/29/2023 20:15:41.069</v>
      </c>
      <c r="C53" t="str">
        <f t="shared" si="9"/>
        <v>FFD353C0</v>
      </c>
      <c r="D53" t="s">
        <v>123</v>
      </c>
      <c r="E53">
        <v>14</v>
      </c>
      <c r="F53">
        <v>1014</v>
      </c>
      <c r="G53" t="s">
        <v>124</v>
      </c>
      <c r="J53" t="s">
        <v>125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"20:15:40.258"</f>
        <v>20:15:40.258</v>
      </c>
      <c r="T53" t="str">
        <f>"20:15:37.858"</f>
        <v>20:15:37.858</v>
      </c>
      <c r="U53" t="str">
        <f t="shared" si="1"/>
        <v>AA0632</v>
      </c>
      <c r="V53">
        <v>0</v>
      </c>
      <c r="W53">
        <v>0</v>
      </c>
      <c r="X53">
        <v>2</v>
      </c>
      <c r="Y53">
        <v>0</v>
      </c>
      <c r="AA53">
        <v>0</v>
      </c>
      <c r="AB53">
        <v>8</v>
      </c>
      <c r="AC53">
        <v>3</v>
      </c>
      <c r="AD53">
        <v>0</v>
      </c>
      <c r="AE53">
        <v>9</v>
      </c>
      <c r="AF53" t="s">
        <v>126</v>
      </c>
      <c r="AG53">
        <v>0</v>
      </c>
      <c r="AH53">
        <v>0</v>
      </c>
      <c r="AI53">
        <v>2</v>
      </c>
      <c r="AJ53">
        <v>0</v>
      </c>
      <c r="AK53" t="s">
        <v>167</v>
      </c>
      <c r="AL53">
        <v>31.953135</v>
      </c>
      <c r="AM53" t="s">
        <v>168</v>
      </c>
      <c r="AN53">
        <v>-101.11689800000001</v>
      </c>
      <c r="AQ53" t="s">
        <v>129</v>
      </c>
      <c r="AR53">
        <v>-65</v>
      </c>
      <c r="AS53">
        <v>67</v>
      </c>
      <c r="AT53">
        <v>320</v>
      </c>
      <c r="BB53" t="str">
        <f t="shared" si="2"/>
        <v>1200</v>
      </c>
      <c r="BC53">
        <v>1</v>
      </c>
      <c r="BG53">
        <v>0</v>
      </c>
      <c r="BH53">
        <v>0</v>
      </c>
      <c r="BI53">
        <v>0</v>
      </c>
      <c r="BL53" t="s">
        <v>130</v>
      </c>
      <c r="BM53">
        <v>1</v>
      </c>
      <c r="BN53">
        <v>0</v>
      </c>
      <c r="BO53">
        <v>0</v>
      </c>
      <c r="BP53">
        <v>0</v>
      </c>
      <c r="BT53">
        <v>0</v>
      </c>
      <c r="BU53">
        <v>0</v>
      </c>
      <c r="CE53" t="str">
        <f>"20:15:40.264"</f>
        <v>20:15:40.264</v>
      </c>
      <c r="CF53">
        <v>264447874</v>
      </c>
      <c r="CS53">
        <v>0</v>
      </c>
      <c r="CT53">
        <v>2</v>
      </c>
      <c r="CU53">
        <v>0</v>
      </c>
      <c r="CV53">
        <v>2</v>
      </c>
      <c r="CW53">
        <v>0</v>
      </c>
      <c r="CX53">
        <v>2</v>
      </c>
      <c r="CY53">
        <v>7</v>
      </c>
      <c r="CZ53" t="s">
        <v>131</v>
      </c>
      <c r="DA53">
        <v>483</v>
      </c>
      <c r="DB53">
        <v>1</v>
      </c>
      <c r="DC53" t="s">
        <v>169</v>
      </c>
      <c r="DD53" t="s">
        <v>170</v>
      </c>
      <c r="DG53">
        <v>7284478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0</v>
      </c>
      <c r="DO53">
        <v>0</v>
      </c>
      <c r="DP53">
        <v>1</v>
      </c>
      <c r="DQ53">
        <v>0</v>
      </c>
      <c r="DR53">
        <v>0</v>
      </c>
      <c r="DS53">
        <v>1</v>
      </c>
    </row>
    <row r="54" spans="1:123" x14ac:dyDescent="0.25">
      <c r="A54" t="str">
        <f>"11/29/2023 20:15:41.069"</f>
        <v>11/29/2023 20:15:41.069</v>
      </c>
      <c r="C54" t="str">
        <f t="shared" si="9"/>
        <v>FFD353C0</v>
      </c>
      <c r="D54" t="s">
        <v>138</v>
      </c>
      <c r="E54">
        <v>3</v>
      </c>
      <c r="H54">
        <v>160</v>
      </c>
      <c r="I54" t="s">
        <v>124</v>
      </c>
      <c r="J54" t="s">
        <v>139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"20:15:40.258"</f>
        <v>20:15:40.258</v>
      </c>
      <c r="T54" t="str">
        <f>"20:15:37.858"</f>
        <v>20:15:37.858</v>
      </c>
      <c r="U54" t="str">
        <f t="shared" si="1"/>
        <v>AA0632</v>
      </c>
      <c r="V54">
        <v>0</v>
      </c>
      <c r="W54">
        <v>0</v>
      </c>
      <c r="X54">
        <v>2</v>
      </c>
      <c r="Y54">
        <v>0</v>
      </c>
      <c r="AA54">
        <v>0</v>
      </c>
      <c r="AB54">
        <v>8</v>
      </c>
      <c r="AC54">
        <v>3</v>
      </c>
      <c r="AD54">
        <v>0</v>
      </c>
      <c r="AE54">
        <v>9</v>
      </c>
      <c r="AF54" t="s">
        <v>126</v>
      </c>
      <c r="AG54">
        <v>0</v>
      </c>
      <c r="AH54">
        <v>0</v>
      </c>
      <c r="AI54">
        <v>2</v>
      </c>
      <c r="AJ54">
        <v>0</v>
      </c>
      <c r="AK54" t="s">
        <v>167</v>
      </c>
      <c r="AL54">
        <v>31.953135</v>
      </c>
      <c r="AM54" t="s">
        <v>168</v>
      </c>
      <c r="AN54">
        <v>-101.11689800000001</v>
      </c>
      <c r="AQ54" t="s">
        <v>129</v>
      </c>
      <c r="AR54">
        <v>-65</v>
      </c>
      <c r="AS54">
        <v>67</v>
      </c>
      <c r="AT54">
        <v>320</v>
      </c>
      <c r="BB54" t="str">
        <f t="shared" si="2"/>
        <v>1200</v>
      </c>
      <c r="BC54">
        <v>1</v>
      </c>
      <c r="BG54">
        <v>0</v>
      </c>
      <c r="BH54">
        <v>0</v>
      </c>
      <c r="BI54">
        <v>0</v>
      </c>
      <c r="BL54" t="s">
        <v>130</v>
      </c>
      <c r="BM54">
        <v>1</v>
      </c>
      <c r="BN54">
        <v>0</v>
      </c>
      <c r="BO54">
        <v>0</v>
      </c>
      <c r="BP54">
        <v>0</v>
      </c>
      <c r="BT54">
        <v>0</v>
      </c>
      <c r="BU54">
        <v>0</v>
      </c>
      <c r="CE54" t="str">
        <f>"20:15:40.264"</f>
        <v>20:15:40.264</v>
      </c>
      <c r="CF54">
        <v>264447874</v>
      </c>
      <c r="CS54">
        <v>0</v>
      </c>
      <c r="CT54">
        <v>2</v>
      </c>
      <c r="CU54">
        <v>0</v>
      </c>
      <c r="CV54">
        <v>2</v>
      </c>
      <c r="CW54">
        <v>0</v>
      </c>
      <c r="CX54">
        <v>2</v>
      </c>
      <c r="CY54">
        <v>7</v>
      </c>
      <c r="CZ54" t="s">
        <v>131</v>
      </c>
      <c r="DA54">
        <v>483</v>
      </c>
      <c r="DB54">
        <v>1</v>
      </c>
      <c r="DC54" t="s">
        <v>169</v>
      </c>
      <c r="DD54" t="s">
        <v>170</v>
      </c>
      <c r="DG54">
        <v>7284478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0</v>
      </c>
      <c r="DO54">
        <v>0</v>
      </c>
      <c r="DP54">
        <v>1</v>
      </c>
      <c r="DQ54">
        <v>0</v>
      </c>
      <c r="DR54">
        <v>0</v>
      </c>
      <c r="DS54">
        <v>1</v>
      </c>
    </row>
    <row r="55" spans="1:123" x14ac:dyDescent="0.25">
      <c r="A55" t="str">
        <f>"11/29/2023 20:15:42.491"</f>
        <v>11/29/2023 20:15:42.491</v>
      </c>
      <c r="C55" t="str">
        <f t="shared" si="9"/>
        <v>FFD353C0</v>
      </c>
      <c r="D55" t="s">
        <v>164</v>
      </c>
      <c r="E55">
        <v>24</v>
      </c>
      <c r="F55">
        <v>2024</v>
      </c>
      <c r="G55" t="s">
        <v>165</v>
      </c>
      <c r="J55" t="s">
        <v>166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"20:15:41.922"</f>
        <v>20:15:41.922</v>
      </c>
      <c r="T55" t="str">
        <f>"20:15:37.822"</f>
        <v>20:15:37.822</v>
      </c>
      <c r="U55" t="str">
        <f t="shared" si="1"/>
        <v>AA0632</v>
      </c>
      <c r="V55">
        <v>0</v>
      </c>
      <c r="W55">
        <v>0</v>
      </c>
      <c r="X55">
        <v>2</v>
      </c>
      <c r="Y55">
        <v>0</v>
      </c>
      <c r="AA55">
        <v>0</v>
      </c>
      <c r="AB55">
        <v>8</v>
      </c>
      <c r="AC55">
        <v>3</v>
      </c>
      <c r="AD55">
        <v>0</v>
      </c>
      <c r="AE55">
        <v>9</v>
      </c>
      <c r="AF55" t="s">
        <v>126</v>
      </c>
      <c r="AG55">
        <v>0</v>
      </c>
      <c r="AH55">
        <v>0</v>
      </c>
      <c r="AI55">
        <v>2</v>
      </c>
      <c r="AJ55">
        <v>0</v>
      </c>
      <c r="AK55" t="s">
        <v>171</v>
      </c>
      <c r="AL55">
        <v>31.953692</v>
      </c>
      <c r="AM55" t="s">
        <v>172</v>
      </c>
      <c r="AN55">
        <v>-101.117542</v>
      </c>
      <c r="AQ55" t="s">
        <v>129</v>
      </c>
      <c r="AR55">
        <v>-65</v>
      </c>
      <c r="AS55">
        <v>67</v>
      </c>
      <c r="AT55">
        <v>320</v>
      </c>
      <c r="BB55" t="str">
        <f t="shared" si="2"/>
        <v>1200</v>
      </c>
      <c r="BC55">
        <v>1</v>
      </c>
      <c r="BG55">
        <v>0</v>
      </c>
      <c r="BH55">
        <v>0</v>
      </c>
      <c r="BI55">
        <v>0</v>
      </c>
      <c r="BL55" t="s">
        <v>130</v>
      </c>
      <c r="BM55">
        <v>1</v>
      </c>
      <c r="BN55">
        <v>0</v>
      </c>
      <c r="BO55">
        <v>0</v>
      </c>
      <c r="BP55">
        <v>0</v>
      </c>
      <c r="BT55">
        <v>0</v>
      </c>
      <c r="BU55">
        <v>0</v>
      </c>
      <c r="CE55" t="str">
        <f>"20:15:41.928"</f>
        <v>20:15:41.928</v>
      </c>
      <c r="CF55">
        <v>928332414</v>
      </c>
      <c r="CS55">
        <v>0</v>
      </c>
      <c r="CT55">
        <v>2</v>
      </c>
      <c r="CU55">
        <v>0</v>
      </c>
      <c r="CV55">
        <v>2</v>
      </c>
      <c r="CW55">
        <v>0</v>
      </c>
      <c r="CX55">
        <v>3</v>
      </c>
      <c r="CY55">
        <v>7</v>
      </c>
      <c r="CZ55" t="s">
        <v>131</v>
      </c>
      <c r="DA55">
        <v>483</v>
      </c>
      <c r="DB55">
        <v>1</v>
      </c>
      <c r="DC55" t="s">
        <v>169</v>
      </c>
      <c r="DD55" t="s">
        <v>170</v>
      </c>
      <c r="DG55">
        <v>7284755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1</v>
      </c>
      <c r="DQ55">
        <v>0</v>
      </c>
      <c r="DR55">
        <v>0</v>
      </c>
      <c r="DS55">
        <v>1</v>
      </c>
    </row>
    <row r="56" spans="1:123" x14ac:dyDescent="0.25">
      <c r="A56" t="str">
        <f>"11/29/2023 20:15:42.491"</f>
        <v>11/29/2023 20:15:42.491</v>
      </c>
      <c r="C56" t="str">
        <f t="shared" si="9"/>
        <v>FFD353C0</v>
      </c>
      <c r="D56" t="s">
        <v>138</v>
      </c>
      <c r="E56">
        <v>3</v>
      </c>
      <c r="H56">
        <v>160</v>
      </c>
      <c r="I56" t="s">
        <v>124</v>
      </c>
      <c r="J56" t="s">
        <v>139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"20:15:41.922"</f>
        <v>20:15:41.922</v>
      </c>
      <c r="T56" t="str">
        <f>"20:15:37.822"</f>
        <v>20:15:37.822</v>
      </c>
      <c r="U56" t="str">
        <f t="shared" si="1"/>
        <v>AA0632</v>
      </c>
      <c r="V56">
        <v>0</v>
      </c>
      <c r="W56">
        <v>0</v>
      </c>
      <c r="X56">
        <v>2</v>
      </c>
      <c r="Y56">
        <v>0</v>
      </c>
      <c r="AA56">
        <v>0</v>
      </c>
      <c r="AB56">
        <v>8</v>
      </c>
      <c r="AC56">
        <v>3</v>
      </c>
      <c r="AD56">
        <v>0</v>
      </c>
      <c r="AE56">
        <v>9</v>
      </c>
      <c r="AF56" t="s">
        <v>126</v>
      </c>
      <c r="AG56">
        <v>0</v>
      </c>
      <c r="AH56">
        <v>0</v>
      </c>
      <c r="AI56">
        <v>2</v>
      </c>
      <c r="AJ56">
        <v>0</v>
      </c>
      <c r="AK56" t="s">
        <v>171</v>
      </c>
      <c r="AL56">
        <v>31.953692</v>
      </c>
      <c r="AM56" t="s">
        <v>172</v>
      </c>
      <c r="AN56">
        <v>-101.117542</v>
      </c>
      <c r="AQ56" t="s">
        <v>129</v>
      </c>
      <c r="AR56">
        <v>-65</v>
      </c>
      <c r="AS56">
        <v>67</v>
      </c>
      <c r="AT56">
        <v>320</v>
      </c>
      <c r="BB56" t="str">
        <f t="shared" si="2"/>
        <v>1200</v>
      </c>
      <c r="BC56">
        <v>1</v>
      </c>
      <c r="BG56">
        <v>0</v>
      </c>
      <c r="BH56">
        <v>0</v>
      </c>
      <c r="BI56">
        <v>0</v>
      </c>
      <c r="BL56" t="s">
        <v>130</v>
      </c>
      <c r="BM56">
        <v>1</v>
      </c>
      <c r="BN56">
        <v>0</v>
      </c>
      <c r="BO56">
        <v>0</v>
      </c>
      <c r="BP56">
        <v>0</v>
      </c>
      <c r="BT56">
        <v>0</v>
      </c>
      <c r="BU56">
        <v>0</v>
      </c>
      <c r="CE56" t="str">
        <f>"20:15:41.928"</f>
        <v>20:15:41.928</v>
      </c>
      <c r="CF56">
        <v>928332414</v>
      </c>
      <c r="CS56">
        <v>0</v>
      </c>
      <c r="CT56">
        <v>2</v>
      </c>
      <c r="CU56">
        <v>0</v>
      </c>
      <c r="CV56">
        <v>2</v>
      </c>
      <c r="CW56">
        <v>0</v>
      </c>
      <c r="CX56">
        <v>3</v>
      </c>
      <c r="CY56">
        <v>7</v>
      </c>
      <c r="CZ56" t="s">
        <v>131</v>
      </c>
      <c r="DA56">
        <v>483</v>
      </c>
      <c r="DB56">
        <v>1</v>
      </c>
      <c r="DC56" t="s">
        <v>169</v>
      </c>
      <c r="DD56" t="s">
        <v>170</v>
      </c>
      <c r="DG56">
        <v>7284755</v>
      </c>
      <c r="DI56">
        <v>0</v>
      </c>
      <c r="DJ56">
        <v>0</v>
      </c>
      <c r="DK56">
        <v>1</v>
      </c>
      <c r="DL56">
        <v>0</v>
      </c>
      <c r="DM56">
        <v>0</v>
      </c>
      <c r="DN56">
        <v>0</v>
      </c>
      <c r="DO56">
        <v>0</v>
      </c>
      <c r="DP56">
        <v>1</v>
      </c>
      <c r="DQ56">
        <v>0</v>
      </c>
      <c r="DR56">
        <v>0</v>
      </c>
      <c r="DS56">
        <v>1</v>
      </c>
    </row>
    <row r="57" spans="1:123" x14ac:dyDescent="0.25">
      <c r="A57" t="str">
        <f>"11/29/2023 20:15:42.491"</f>
        <v>11/29/2023 20:15:42.491</v>
      </c>
      <c r="C57" t="str">
        <f t="shared" si="9"/>
        <v>FFD353C0</v>
      </c>
      <c r="D57" t="s">
        <v>123</v>
      </c>
      <c r="E57">
        <v>14</v>
      </c>
      <c r="F57">
        <v>1014</v>
      </c>
      <c r="G57" t="s">
        <v>124</v>
      </c>
      <c r="J57" t="s">
        <v>125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"20:15:41.922"</f>
        <v>20:15:41.922</v>
      </c>
      <c r="T57" t="str">
        <f>"20:15:37.822"</f>
        <v>20:15:37.822</v>
      </c>
      <c r="U57" t="str">
        <f t="shared" si="1"/>
        <v>AA0632</v>
      </c>
      <c r="V57">
        <v>0</v>
      </c>
      <c r="W57">
        <v>0</v>
      </c>
      <c r="X57">
        <v>2</v>
      </c>
      <c r="Y57">
        <v>0</v>
      </c>
      <c r="AA57">
        <v>0</v>
      </c>
      <c r="AB57">
        <v>8</v>
      </c>
      <c r="AC57">
        <v>3</v>
      </c>
      <c r="AD57">
        <v>0</v>
      </c>
      <c r="AE57">
        <v>9</v>
      </c>
      <c r="AF57" t="s">
        <v>126</v>
      </c>
      <c r="AG57">
        <v>0</v>
      </c>
      <c r="AH57">
        <v>0</v>
      </c>
      <c r="AI57">
        <v>2</v>
      </c>
      <c r="AJ57">
        <v>0</v>
      </c>
      <c r="AK57" t="s">
        <v>171</v>
      </c>
      <c r="AL57">
        <v>31.953692</v>
      </c>
      <c r="AM57" t="s">
        <v>172</v>
      </c>
      <c r="AN57">
        <v>-101.117542</v>
      </c>
      <c r="AQ57" t="s">
        <v>129</v>
      </c>
      <c r="AR57">
        <v>-65</v>
      </c>
      <c r="AS57">
        <v>67</v>
      </c>
      <c r="AT57">
        <v>320</v>
      </c>
      <c r="BB57" t="str">
        <f t="shared" si="2"/>
        <v>1200</v>
      </c>
      <c r="BC57">
        <v>1</v>
      </c>
      <c r="BG57">
        <v>0</v>
      </c>
      <c r="BH57">
        <v>0</v>
      </c>
      <c r="BI57">
        <v>0</v>
      </c>
      <c r="BL57" t="s">
        <v>130</v>
      </c>
      <c r="BM57">
        <v>1</v>
      </c>
      <c r="BN57">
        <v>0</v>
      </c>
      <c r="BO57">
        <v>0</v>
      </c>
      <c r="BP57">
        <v>0</v>
      </c>
      <c r="BT57">
        <v>0</v>
      </c>
      <c r="BU57">
        <v>0</v>
      </c>
      <c r="CE57" t="str">
        <f>"20:15:41.928"</f>
        <v>20:15:41.928</v>
      </c>
      <c r="CF57">
        <v>928332414</v>
      </c>
      <c r="CS57">
        <v>0</v>
      </c>
      <c r="CT57">
        <v>2</v>
      </c>
      <c r="CU57">
        <v>0</v>
      </c>
      <c r="CV57">
        <v>2</v>
      </c>
      <c r="CW57">
        <v>0</v>
      </c>
      <c r="CX57">
        <v>3</v>
      </c>
      <c r="CY57">
        <v>7</v>
      </c>
      <c r="CZ57" t="s">
        <v>131</v>
      </c>
      <c r="DA57">
        <v>483</v>
      </c>
      <c r="DB57">
        <v>1</v>
      </c>
      <c r="DC57" t="s">
        <v>169</v>
      </c>
      <c r="DD57" t="s">
        <v>170</v>
      </c>
      <c r="DG57">
        <v>7284755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0</v>
      </c>
      <c r="DP57">
        <v>1</v>
      </c>
      <c r="DQ57">
        <v>0</v>
      </c>
      <c r="DR57">
        <v>0</v>
      </c>
      <c r="DS57">
        <v>1</v>
      </c>
    </row>
    <row r="58" spans="1:123" x14ac:dyDescent="0.25">
      <c r="A58" t="str">
        <f>"11/29/2023 20:15:44.257"</f>
        <v>11/29/2023 20:15:44.257</v>
      </c>
      <c r="C58" t="str">
        <f t="shared" ref="C58:C75" si="10">"FFDF53C0"</f>
        <v>FFDF53C0</v>
      </c>
      <c r="D58" t="s">
        <v>138</v>
      </c>
      <c r="E58">
        <v>3</v>
      </c>
      <c r="H58">
        <v>160</v>
      </c>
      <c r="I58" t="s">
        <v>124</v>
      </c>
      <c r="J58" t="s">
        <v>139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"20:15:43.992"</f>
        <v>20:15:43.992</v>
      </c>
      <c r="T58" t="str">
        <f>"20:15:43.492"</f>
        <v>20:15:43.492</v>
      </c>
      <c r="U58" t="str">
        <f t="shared" si="1"/>
        <v>AA0632</v>
      </c>
      <c r="V58">
        <v>0</v>
      </c>
      <c r="W58">
        <v>0</v>
      </c>
      <c r="X58">
        <v>2</v>
      </c>
      <c r="Y58">
        <v>0</v>
      </c>
      <c r="AA58">
        <v>0</v>
      </c>
      <c r="AB58">
        <v>8</v>
      </c>
      <c r="AC58">
        <v>3</v>
      </c>
      <c r="AD58">
        <v>0</v>
      </c>
      <c r="AE58">
        <v>9</v>
      </c>
      <c r="AF58" t="s">
        <v>126</v>
      </c>
      <c r="AG58">
        <v>0</v>
      </c>
      <c r="AH58">
        <v>0</v>
      </c>
      <c r="AI58">
        <v>2</v>
      </c>
      <c r="AJ58">
        <v>0</v>
      </c>
      <c r="AK58" t="s">
        <v>173</v>
      </c>
      <c r="AL58">
        <v>31.954293</v>
      </c>
      <c r="AM58" t="s">
        <v>174</v>
      </c>
      <c r="AN58">
        <v>-101.118228</v>
      </c>
      <c r="AQ58" t="s">
        <v>129</v>
      </c>
      <c r="AR58">
        <v>-66</v>
      </c>
      <c r="AS58">
        <v>66</v>
      </c>
      <c r="AT58">
        <v>192</v>
      </c>
      <c r="BB58" t="str">
        <f t="shared" si="2"/>
        <v>1200</v>
      </c>
      <c r="BC58">
        <v>1</v>
      </c>
      <c r="BD58" t="str">
        <f t="shared" ref="BD58:BD75" si="11">"N745MB  "</f>
        <v xml:space="preserve">N745MB  </v>
      </c>
      <c r="BE58">
        <v>1</v>
      </c>
      <c r="BG58">
        <v>0</v>
      </c>
      <c r="BH58">
        <v>0</v>
      </c>
      <c r="BI58">
        <v>0</v>
      </c>
      <c r="BL58" t="s">
        <v>130</v>
      </c>
      <c r="BM58">
        <v>1</v>
      </c>
      <c r="BN58">
        <v>0</v>
      </c>
      <c r="BO58">
        <v>0</v>
      </c>
      <c r="BP58">
        <v>0</v>
      </c>
      <c r="BT58">
        <v>0</v>
      </c>
      <c r="BU58">
        <v>0</v>
      </c>
      <c r="CE58" t="str">
        <f>"20:15:43.996"</f>
        <v>20:15:43.996</v>
      </c>
      <c r="CF58">
        <v>996174473</v>
      </c>
      <c r="CS58">
        <v>0</v>
      </c>
      <c r="CT58">
        <v>2</v>
      </c>
      <c r="CU58">
        <v>0</v>
      </c>
      <c r="CV58">
        <v>2</v>
      </c>
      <c r="CW58">
        <v>0</v>
      </c>
      <c r="CX58">
        <v>3</v>
      </c>
      <c r="CY58">
        <v>7</v>
      </c>
      <c r="CZ58" t="s">
        <v>131</v>
      </c>
      <c r="DA58">
        <v>116</v>
      </c>
      <c r="DB58">
        <v>3</v>
      </c>
      <c r="DC58" t="s">
        <v>132</v>
      </c>
      <c r="DD58" t="s">
        <v>133</v>
      </c>
      <c r="DG58">
        <v>8073628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1</v>
      </c>
      <c r="DQ58">
        <v>0</v>
      </c>
      <c r="DR58">
        <v>0</v>
      </c>
      <c r="DS58">
        <v>0</v>
      </c>
    </row>
    <row r="59" spans="1:123" x14ac:dyDescent="0.25">
      <c r="A59" t="str">
        <f>"11/29/2023 20:15:44.257"</f>
        <v>11/29/2023 20:15:44.257</v>
      </c>
      <c r="C59" t="str">
        <f t="shared" si="10"/>
        <v>FFDF53C0</v>
      </c>
      <c r="D59" t="s">
        <v>123</v>
      </c>
      <c r="E59">
        <v>14</v>
      </c>
      <c r="F59">
        <v>1014</v>
      </c>
      <c r="G59" t="s">
        <v>124</v>
      </c>
      <c r="J59" t="s">
        <v>125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"20:15:43.992"</f>
        <v>20:15:43.992</v>
      </c>
      <c r="T59" t="str">
        <f>"20:15:43.492"</f>
        <v>20:15:43.492</v>
      </c>
      <c r="U59" t="str">
        <f t="shared" si="1"/>
        <v>AA0632</v>
      </c>
      <c r="V59">
        <v>0</v>
      </c>
      <c r="W59">
        <v>0</v>
      </c>
      <c r="X59">
        <v>2</v>
      </c>
      <c r="Y59">
        <v>0</v>
      </c>
      <c r="AA59">
        <v>0</v>
      </c>
      <c r="AB59">
        <v>8</v>
      </c>
      <c r="AC59">
        <v>3</v>
      </c>
      <c r="AD59">
        <v>0</v>
      </c>
      <c r="AE59">
        <v>9</v>
      </c>
      <c r="AF59" t="s">
        <v>126</v>
      </c>
      <c r="AG59">
        <v>0</v>
      </c>
      <c r="AH59">
        <v>0</v>
      </c>
      <c r="AI59">
        <v>2</v>
      </c>
      <c r="AJ59">
        <v>0</v>
      </c>
      <c r="AK59" t="s">
        <v>173</v>
      </c>
      <c r="AL59">
        <v>31.954293</v>
      </c>
      <c r="AM59" t="s">
        <v>174</v>
      </c>
      <c r="AN59">
        <v>-101.118228</v>
      </c>
      <c r="AQ59" t="s">
        <v>129</v>
      </c>
      <c r="AR59">
        <v>-66</v>
      </c>
      <c r="AS59">
        <v>66</v>
      </c>
      <c r="AT59">
        <v>192</v>
      </c>
      <c r="BB59" t="str">
        <f t="shared" si="2"/>
        <v>1200</v>
      </c>
      <c r="BC59">
        <v>1</v>
      </c>
      <c r="BD59" t="str">
        <f t="shared" si="11"/>
        <v xml:space="preserve">N745MB  </v>
      </c>
      <c r="BE59">
        <v>1</v>
      </c>
      <c r="BG59">
        <v>0</v>
      </c>
      <c r="BH59">
        <v>0</v>
      </c>
      <c r="BI59">
        <v>0</v>
      </c>
      <c r="BL59" t="s">
        <v>130</v>
      </c>
      <c r="BM59">
        <v>1</v>
      </c>
      <c r="BN59">
        <v>0</v>
      </c>
      <c r="BO59">
        <v>0</v>
      </c>
      <c r="BP59">
        <v>0</v>
      </c>
      <c r="BT59">
        <v>0</v>
      </c>
      <c r="BU59">
        <v>0</v>
      </c>
      <c r="CE59" t="str">
        <f>"20:15:43.996"</f>
        <v>20:15:43.996</v>
      </c>
      <c r="CF59">
        <v>996174473</v>
      </c>
      <c r="CS59">
        <v>0</v>
      </c>
      <c r="CT59">
        <v>2</v>
      </c>
      <c r="CU59">
        <v>0</v>
      </c>
      <c r="CV59">
        <v>2</v>
      </c>
      <c r="CW59">
        <v>0</v>
      </c>
      <c r="CX59">
        <v>3</v>
      </c>
      <c r="CY59">
        <v>7</v>
      </c>
      <c r="CZ59" t="s">
        <v>131</v>
      </c>
      <c r="DA59">
        <v>116</v>
      </c>
      <c r="DB59">
        <v>3</v>
      </c>
      <c r="DC59" t="s">
        <v>132</v>
      </c>
      <c r="DD59" t="s">
        <v>133</v>
      </c>
      <c r="DG59">
        <v>8073628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0</v>
      </c>
      <c r="DO59">
        <v>0</v>
      </c>
      <c r="DP59">
        <v>1</v>
      </c>
      <c r="DQ59">
        <v>0</v>
      </c>
      <c r="DR59">
        <v>0</v>
      </c>
      <c r="DS59">
        <v>0</v>
      </c>
    </row>
    <row r="60" spans="1:123" x14ac:dyDescent="0.25">
      <c r="A60" t="str">
        <f>"11/29/2023 20:15:44.257"</f>
        <v>11/29/2023 20:15:44.257</v>
      </c>
      <c r="C60" t="str">
        <f t="shared" si="10"/>
        <v>FFDF53C0</v>
      </c>
      <c r="D60" t="s">
        <v>123</v>
      </c>
      <c r="E60">
        <v>1</v>
      </c>
      <c r="F60">
        <v>1001</v>
      </c>
      <c r="G60" t="s">
        <v>134</v>
      </c>
      <c r="J60" t="s">
        <v>125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"20:15:43.992"</f>
        <v>20:15:43.992</v>
      </c>
      <c r="T60" t="str">
        <f>"20:15:43.492"</f>
        <v>20:15:43.492</v>
      </c>
      <c r="U60" t="str">
        <f t="shared" si="1"/>
        <v>AA0632</v>
      </c>
      <c r="V60">
        <v>0</v>
      </c>
      <c r="W60">
        <v>0</v>
      </c>
      <c r="X60">
        <v>2</v>
      </c>
      <c r="Y60">
        <v>0</v>
      </c>
      <c r="AA60">
        <v>0</v>
      </c>
      <c r="AB60">
        <v>8</v>
      </c>
      <c r="AC60">
        <v>3</v>
      </c>
      <c r="AD60">
        <v>0</v>
      </c>
      <c r="AE60">
        <v>9</v>
      </c>
      <c r="AF60" t="s">
        <v>126</v>
      </c>
      <c r="AG60">
        <v>0</v>
      </c>
      <c r="AH60">
        <v>0</v>
      </c>
      <c r="AI60">
        <v>2</v>
      </c>
      <c r="AJ60">
        <v>0</v>
      </c>
      <c r="AK60" t="s">
        <v>173</v>
      </c>
      <c r="AL60">
        <v>31.954293</v>
      </c>
      <c r="AM60" t="s">
        <v>174</v>
      </c>
      <c r="AN60">
        <v>-101.118228</v>
      </c>
      <c r="AQ60" t="s">
        <v>129</v>
      </c>
      <c r="AR60">
        <v>-66</v>
      </c>
      <c r="AS60">
        <v>66</v>
      </c>
      <c r="AT60">
        <v>192</v>
      </c>
      <c r="BB60" t="str">
        <f t="shared" si="2"/>
        <v>1200</v>
      </c>
      <c r="BC60">
        <v>1</v>
      </c>
      <c r="BD60" t="str">
        <f t="shared" si="11"/>
        <v xml:space="preserve">N745MB  </v>
      </c>
      <c r="BE60">
        <v>1</v>
      </c>
      <c r="BG60">
        <v>0</v>
      </c>
      <c r="BH60">
        <v>0</v>
      </c>
      <c r="BI60">
        <v>0</v>
      </c>
      <c r="BL60" t="s">
        <v>130</v>
      </c>
      <c r="BM60">
        <v>1</v>
      </c>
      <c r="BN60">
        <v>0</v>
      </c>
      <c r="BO60">
        <v>0</v>
      </c>
      <c r="BP60">
        <v>0</v>
      </c>
      <c r="BT60">
        <v>0</v>
      </c>
      <c r="BU60">
        <v>0</v>
      </c>
      <c r="CE60" t="str">
        <f>"20:15:43.996"</f>
        <v>20:15:43.996</v>
      </c>
      <c r="CF60">
        <v>996174473</v>
      </c>
      <c r="CS60">
        <v>0</v>
      </c>
      <c r="CT60">
        <v>2</v>
      </c>
      <c r="CU60">
        <v>0</v>
      </c>
      <c r="CV60">
        <v>2</v>
      </c>
      <c r="CW60">
        <v>0</v>
      </c>
      <c r="CX60">
        <v>3</v>
      </c>
      <c r="CY60">
        <v>7</v>
      </c>
      <c r="CZ60" t="s">
        <v>131</v>
      </c>
      <c r="DA60">
        <v>116</v>
      </c>
      <c r="DB60">
        <v>3</v>
      </c>
      <c r="DC60" t="s">
        <v>132</v>
      </c>
      <c r="DD60" t="s">
        <v>133</v>
      </c>
      <c r="DG60">
        <v>8073628</v>
      </c>
      <c r="DI60">
        <v>0</v>
      </c>
      <c r="DJ60">
        <v>0</v>
      </c>
      <c r="DK60">
        <v>1</v>
      </c>
      <c r="DL60">
        <v>0</v>
      </c>
      <c r="DM60">
        <v>0</v>
      </c>
      <c r="DN60">
        <v>0</v>
      </c>
      <c r="DO60">
        <v>0</v>
      </c>
      <c r="DP60">
        <v>1</v>
      </c>
      <c r="DQ60">
        <v>0</v>
      </c>
      <c r="DR60">
        <v>0</v>
      </c>
      <c r="DS60">
        <v>0</v>
      </c>
    </row>
    <row r="61" spans="1:123" x14ac:dyDescent="0.25">
      <c r="A61" t="str">
        <f>"11/29/2023 20:15:44.272"</f>
        <v>11/29/2023 20:15:44.272</v>
      </c>
      <c r="C61" t="str">
        <f t="shared" si="10"/>
        <v>FFDF53C0</v>
      </c>
      <c r="D61" t="s">
        <v>135</v>
      </c>
      <c r="E61">
        <v>31</v>
      </c>
      <c r="H61">
        <v>285</v>
      </c>
      <c r="I61" t="s">
        <v>136</v>
      </c>
      <c r="J61" t="s">
        <v>137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"20:15:43.992"</f>
        <v>20:15:43.992</v>
      </c>
      <c r="T61" t="str">
        <f>"20:15:43.492"</f>
        <v>20:15:43.492</v>
      </c>
      <c r="U61" t="str">
        <f t="shared" si="1"/>
        <v>AA0632</v>
      </c>
      <c r="V61">
        <v>0</v>
      </c>
      <c r="W61">
        <v>0</v>
      </c>
      <c r="X61">
        <v>2</v>
      </c>
      <c r="Y61">
        <v>0</v>
      </c>
      <c r="AA61">
        <v>0</v>
      </c>
      <c r="AB61">
        <v>8</v>
      </c>
      <c r="AC61">
        <v>3</v>
      </c>
      <c r="AD61">
        <v>0</v>
      </c>
      <c r="AE61">
        <v>9</v>
      </c>
      <c r="AF61" t="s">
        <v>126</v>
      </c>
      <c r="AG61">
        <v>0</v>
      </c>
      <c r="AH61">
        <v>0</v>
      </c>
      <c r="AI61">
        <v>2</v>
      </c>
      <c r="AJ61">
        <v>0</v>
      </c>
      <c r="AK61" t="s">
        <v>173</v>
      </c>
      <c r="AL61">
        <v>31.954293</v>
      </c>
      <c r="AM61" t="s">
        <v>174</v>
      </c>
      <c r="AN61">
        <v>-101.118228</v>
      </c>
      <c r="AQ61" t="s">
        <v>129</v>
      </c>
      <c r="AR61">
        <v>-66</v>
      </c>
      <c r="AS61">
        <v>66</v>
      </c>
      <c r="AT61">
        <v>192</v>
      </c>
      <c r="BB61" t="str">
        <f t="shared" si="2"/>
        <v>1200</v>
      </c>
      <c r="BC61">
        <v>1</v>
      </c>
      <c r="BD61" t="str">
        <f t="shared" si="11"/>
        <v xml:space="preserve">N745MB  </v>
      </c>
      <c r="BE61">
        <v>1</v>
      </c>
      <c r="BG61">
        <v>0</v>
      </c>
      <c r="BH61">
        <v>0</v>
      </c>
      <c r="BI61">
        <v>0</v>
      </c>
      <c r="BL61" t="s">
        <v>130</v>
      </c>
      <c r="BM61">
        <v>1</v>
      </c>
      <c r="BN61">
        <v>0</v>
      </c>
      <c r="BO61">
        <v>0</v>
      </c>
      <c r="BP61">
        <v>0</v>
      </c>
      <c r="BT61">
        <v>0</v>
      </c>
      <c r="BU61">
        <v>0</v>
      </c>
      <c r="CE61" t="str">
        <f>"20:15:43.996"</f>
        <v>20:15:43.996</v>
      </c>
      <c r="CF61">
        <v>996174473</v>
      </c>
      <c r="CS61">
        <v>0</v>
      </c>
      <c r="CT61">
        <v>2</v>
      </c>
      <c r="CU61">
        <v>0</v>
      </c>
      <c r="CV61">
        <v>2</v>
      </c>
      <c r="CW61">
        <v>0</v>
      </c>
      <c r="CX61">
        <v>3</v>
      </c>
      <c r="CY61">
        <v>7</v>
      </c>
      <c r="CZ61" t="s">
        <v>131</v>
      </c>
      <c r="DA61">
        <v>116</v>
      </c>
      <c r="DB61">
        <v>3</v>
      </c>
      <c r="DC61" t="s">
        <v>132</v>
      </c>
      <c r="DD61" t="s">
        <v>133</v>
      </c>
      <c r="DG61">
        <v>8073628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0</v>
      </c>
      <c r="DO61">
        <v>0</v>
      </c>
      <c r="DP61">
        <v>1</v>
      </c>
      <c r="DQ61">
        <v>0</v>
      </c>
      <c r="DR61">
        <v>0</v>
      </c>
      <c r="DS61">
        <v>0</v>
      </c>
    </row>
    <row r="62" spans="1:123" x14ac:dyDescent="0.25">
      <c r="A62" t="str">
        <f>"11/29/2023 20:15:45.788"</f>
        <v>11/29/2023 20:15:45.788</v>
      </c>
      <c r="C62" t="str">
        <f t="shared" si="10"/>
        <v>FFDF53C0</v>
      </c>
      <c r="D62" t="s">
        <v>123</v>
      </c>
      <c r="E62">
        <v>14</v>
      </c>
      <c r="F62">
        <v>1014</v>
      </c>
      <c r="G62" t="s">
        <v>124</v>
      </c>
      <c r="J62" t="s">
        <v>125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"20:15:45.445"</f>
        <v>20:15:45.445</v>
      </c>
      <c r="T62" t="str">
        <f>"20:15:45.045"</f>
        <v>20:15:45.045</v>
      </c>
      <c r="U62" t="str">
        <f t="shared" si="1"/>
        <v>AA0632</v>
      </c>
      <c r="V62">
        <v>0</v>
      </c>
      <c r="W62">
        <v>0</v>
      </c>
      <c r="X62">
        <v>2</v>
      </c>
      <c r="Y62">
        <v>0</v>
      </c>
      <c r="AA62">
        <v>0</v>
      </c>
      <c r="AB62">
        <v>8</v>
      </c>
      <c r="AC62">
        <v>3</v>
      </c>
      <c r="AD62">
        <v>0</v>
      </c>
      <c r="AE62">
        <v>9</v>
      </c>
      <c r="AF62" t="s">
        <v>126</v>
      </c>
      <c r="AG62">
        <v>0</v>
      </c>
      <c r="AH62">
        <v>0</v>
      </c>
      <c r="AI62">
        <v>2</v>
      </c>
      <c r="AJ62">
        <v>0</v>
      </c>
      <c r="AK62" t="s">
        <v>175</v>
      </c>
      <c r="AL62">
        <v>31.954744000000002</v>
      </c>
      <c r="AM62" t="s">
        <v>176</v>
      </c>
      <c r="AN62">
        <v>-101.11882900000001</v>
      </c>
      <c r="AQ62" t="s">
        <v>129</v>
      </c>
      <c r="AR62">
        <v>-67</v>
      </c>
      <c r="AS62">
        <v>65</v>
      </c>
      <c r="AT62">
        <v>256</v>
      </c>
      <c r="BB62" t="str">
        <f t="shared" si="2"/>
        <v>1200</v>
      </c>
      <c r="BC62">
        <v>1</v>
      </c>
      <c r="BD62" t="str">
        <f t="shared" si="11"/>
        <v xml:space="preserve">N745MB  </v>
      </c>
      <c r="BE62">
        <v>1</v>
      </c>
      <c r="BG62">
        <v>0</v>
      </c>
      <c r="BH62">
        <v>0</v>
      </c>
      <c r="BI62">
        <v>0</v>
      </c>
      <c r="BL62" t="s">
        <v>130</v>
      </c>
      <c r="BM62">
        <v>1</v>
      </c>
      <c r="BN62">
        <v>0</v>
      </c>
      <c r="BO62">
        <v>0</v>
      </c>
      <c r="BP62">
        <v>0</v>
      </c>
      <c r="BT62">
        <v>0</v>
      </c>
      <c r="BU62">
        <v>0</v>
      </c>
      <c r="CE62" t="str">
        <f>"20:15:45.452"</f>
        <v>20:15:45.452</v>
      </c>
      <c r="CF62">
        <v>452071614</v>
      </c>
      <c r="CS62">
        <v>0</v>
      </c>
      <c r="CT62">
        <v>2</v>
      </c>
      <c r="CU62">
        <v>0</v>
      </c>
      <c r="CV62">
        <v>2</v>
      </c>
      <c r="CW62">
        <v>0</v>
      </c>
      <c r="CX62">
        <v>3</v>
      </c>
      <c r="CY62">
        <v>7</v>
      </c>
      <c r="CZ62" t="s">
        <v>131</v>
      </c>
      <c r="DA62">
        <v>116</v>
      </c>
      <c r="DB62">
        <v>0</v>
      </c>
      <c r="DC62" t="s">
        <v>132</v>
      </c>
      <c r="DD62" t="s">
        <v>133</v>
      </c>
      <c r="DG62">
        <v>14128503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1</v>
      </c>
      <c r="DQ62">
        <v>0</v>
      </c>
      <c r="DR62">
        <v>0</v>
      </c>
      <c r="DS62">
        <v>0</v>
      </c>
    </row>
    <row r="63" spans="1:123" x14ac:dyDescent="0.25">
      <c r="A63" t="str">
        <f>"11/29/2023 20:15:45.788"</f>
        <v>11/29/2023 20:15:45.788</v>
      </c>
      <c r="C63" t="str">
        <f t="shared" si="10"/>
        <v>FFDF53C0</v>
      </c>
      <c r="D63" t="s">
        <v>135</v>
      </c>
      <c r="E63">
        <v>31</v>
      </c>
      <c r="H63">
        <v>285</v>
      </c>
      <c r="I63" t="s">
        <v>136</v>
      </c>
      <c r="J63" t="s">
        <v>137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"20:15:45.445"</f>
        <v>20:15:45.445</v>
      </c>
      <c r="T63" t="str">
        <f>"20:15:45.045"</f>
        <v>20:15:45.045</v>
      </c>
      <c r="U63" t="str">
        <f t="shared" si="1"/>
        <v>AA0632</v>
      </c>
      <c r="V63">
        <v>0</v>
      </c>
      <c r="W63">
        <v>0</v>
      </c>
      <c r="X63">
        <v>2</v>
      </c>
      <c r="Y63">
        <v>0</v>
      </c>
      <c r="AA63">
        <v>0</v>
      </c>
      <c r="AB63">
        <v>8</v>
      </c>
      <c r="AC63">
        <v>3</v>
      </c>
      <c r="AD63">
        <v>0</v>
      </c>
      <c r="AE63">
        <v>9</v>
      </c>
      <c r="AF63" t="s">
        <v>126</v>
      </c>
      <c r="AG63">
        <v>0</v>
      </c>
      <c r="AH63">
        <v>0</v>
      </c>
      <c r="AI63">
        <v>2</v>
      </c>
      <c r="AJ63">
        <v>0</v>
      </c>
      <c r="AK63" t="s">
        <v>175</v>
      </c>
      <c r="AL63">
        <v>31.954744000000002</v>
      </c>
      <c r="AM63" t="s">
        <v>176</v>
      </c>
      <c r="AN63">
        <v>-101.11882900000001</v>
      </c>
      <c r="AQ63" t="s">
        <v>129</v>
      </c>
      <c r="AR63">
        <v>-67</v>
      </c>
      <c r="AS63">
        <v>65</v>
      </c>
      <c r="AT63">
        <v>256</v>
      </c>
      <c r="BB63" t="str">
        <f t="shared" si="2"/>
        <v>1200</v>
      </c>
      <c r="BC63">
        <v>1</v>
      </c>
      <c r="BD63" t="str">
        <f t="shared" si="11"/>
        <v xml:space="preserve">N745MB  </v>
      </c>
      <c r="BE63">
        <v>1</v>
      </c>
      <c r="BG63">
        <v>0</v>
      </c>
      <c r="BH63">
        <v>0</v>
      </c>
      <c r="BI63">
        <v>0</v>
      </c>
      <c r="BL63" t="s">
        <v>130</v>
      </c>
      <c r="BM63">
        <v>1</v>
      </c>
      <c r="BN63">
        <v>0</v>
      </c>
      <c r="BO63">
        <v>0</v>
      </c>
      <c r="BP63">
        <v>0</v>
      </c>
      <c r="BT63">
        <v>0</v>
      </c>
      <c r="BU63">
        <v>0</v>
      </c>
      <c r="CE63" t="str">
        <f>"20:15:45.452"</f>
        <v>20:15:45.452</v>
      </c>
      <c r="CF63">
        <v>452071614</v>
      </c>
      <c r="CS63">
        <v>0</v>
      </c>
      <c r="CT63">
        <v>2</v>
      </c>
      <c r="CU63">
        <v>0</v>
      </c>
      <c r="CV63">
        <v>2</v>
      </c>
      <c r="CW63">
        <v>0</v>
      </c>
      <c r="CX63">
        <v>3</v>
      </c>
      <c r="CY63">
        <v>7</v>
      </c>
      <c r="CZ63" t="s">
        <v>131</v>
      </c>
      <c r="DA63">
        <v>116</v>
      </c>
      <c r="DB63">
        <v>0</v>
      </c>
      <c r="DC63" t="s">
        <v>132</v>
      </c>
      <c r="DD63" t="s">
        <v>133</v>
      </c>
      <c r="DG63">
        <v>14128503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0</v>
      </c>
      <c r="DP63">
        <v>1</v>
      </c>
      <c r="DQ63">
        <v>0</v>
      </c>
      <c r="DR63">
        <v>0</v>
      </c>
      <c r="DS63">
        <v>0</v>
      </c>
    </row>
    <row r="64" spans="1:123" x14ac:dyDescent="0.25">
      <c r="A64" t="str">
        <f>"11/29/2023 20:15:45.788"</f>
        <v>11/29/2023 20:15:45.788</v>
      </c>
      <c r="C64" t="str">
        <f t="shared" si="10"/>
        <v>FFDF53C0</v>
      </c>
      <c r="D64" t="s">
        <v>138</v>
      </c>
      <c r="E64">
        <v>3</v>
      </c>
      <c r="H64">
        <v>160</v>
      </c>
      <c r="I64" t="s">
        <v>124</v>
      </c>
      <c r="J64" t="s">
        <v>139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"20:15:45.445"</f>
        <v>20:15:45.445</v>
      </c>
      <c r="T64" t="str">
        <f>"20:15:45.045"</f>
        <v>20:15:45.045</v>
      </c>
      <c r="U64" t="str">
        <f t="shared" si="1"/>
        <v>AA0632</v>
      </c>
      <c r="V64">
        <v>0</v>
      </c>
      <c r="W64">
        <v>0</v>
      </c>
      <c r="X64">
        <v>2</v>
      </c>
      <c r="Y64">
        <v>0</v>
      </c>
      <c r="AA64">
        <v>0</v>
      </c>
      <c r="AB64">
        <v>8</v>
      </c>
      <c r="AC64">
        <v>3</v>
      </c>
      <c r="AD64">
        <v>0</v>
      </c>
      <c r="AE64">
        <v>9</v>
      </c>
      <c r="AF64" t="s">
        <v>126</v>
      </c>
      <c r="AG64">
        <v>0</v>
      </c>
      <c r="AH64">
        <v>0</v>
      </c>
      <c r="AI64">
        <v>2</v>
      </c>
      <c r="AJ64">
        <v>0</v>
      </c>
      <c r="AK64" t="s">
        <v>175</v>
      </c>
      <c r="AL64">
        <v>31.954744000000002</v>
      </c>
      <c r="AM64" t="s">
        <v>176</v>
      </c>
      <c r="AN64">
        <v>-101.11882900000001</v>
      </c>
      <c r="AQ64" t="s">
        <v>129</v>
      </c>
      <c r="AR64">
        <v>-67</v>
      </c>
      <c r="AS64">
        <v>65</v>
      </c>
      <c r="AT64">
        <v>256</v>
      </c>
      <c r="BB64" t="str">
        <f t="shared" si="2"/>
        <v>1200</v>
      </c>
      <c r="BC64">
        <v>1</v>
      </c>
      <c r="BD64" t="str">
        <f t="shared" si="11"/>
        <v xml:space="preserve">N745MB  </v>
      </c>
      <c r="BE64">
        <v>1</v>
      </c>
      <c r="BG64">
        <v>0</v>
      </c>
      <c r="BH64">
        <v>0</v>
      </c>
      <c r="BI64">
        <v>0</v>
      </c>
      <c r="BL64" t="s">
        <v>130</v>
      </c>
      <c r="BM64">
        <v>1</v>
      </c>
      <c r="BN64">
        <v>0</v>
      </c>
      <c r="BO64">
        <v>0</v>
      </c>
      <c r="BP64">
        <v>0</v>
      </c>
      <c r="BT64">
        <v>0</v>
      </c>
      <c r="BU64">
        <v>0</v>
      </c>
      <c r="CE64" t="str">
        <f>"20:15:45.452"</f>
        <v>20:15:45.452</v>
      </c>
      <c r="CF64">
        <v>452071614</v>
      </c>
      <c r="CS64">
        <v>0</v>
      </c>
      <c r="CT64">
        <v>2</v>
      </c>
      <c r="CU64">
        <v>0</v>
      </c>
      <c r="CV64">
        <v>2</v>
      </c>
      <c r="CW64">
        <v>0</v>
      </c>
      <c r="CX64">
        <v>3</v>
      </c>
      <c r="CY64">
        <v>7</v>
      </c>
      <c r="CZ64" t="s">
        <v>131</v>
      </c>
      <c r="DA64">
        <v>116</v>
      </c>
      <c r="DB64">
        <v>0</v>
      </c>
      <c r="DC64" t="s">
        <v>132</v>
      </c>
      <c r="DD64" t="s">
        <v>133</v>
      </c>
      <c r="DG64">
        <v>14128503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0</v>
      </c>
      <c r="DO64">
        <v>0</v>
      </c>
      <c r="DP64">
        <v>1</v>
      </c>
      <c r="DQ64">
        <v>0</v>
      </c>
      <c r="DR64">
        <v>0</v>
      </c>
      <c r="DS64">
        <v>0</v>
      </c>
    </row>
    <row r="65" spans="1:123" x14ac:dyDescent="0.25">
      <c r="A65" t="str">
        <f>"11/29/2023 20:15:45.819"</f>
        <v>11/29/2023 20:15:45.819</v>
      </c>
      <c r="C65" t="str">
        <f t="shared" si="10"/>
        <v>FFDF53C0</v>
      </c>
      <c r="D65" t="s">
        <v>123</v>
      </c>
      <c r="E65">
        <v>1</v>
      </c>
      <c r="F65">
        <v>1001</v>
      </c>
      <c r="G65" t="s">
        <v>134</v>
      </c>
      <c r="J65" t="s">
        <v>125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"20:15:45.445"</f>
        <v>20:15:45.445</v>
      </c>
      <c r="T65" t="str">
        <f>"20:15:45.045"</f>
        <v>20:15:45.045</v>
      </c>
      <c r="U65" t="str">
        <f t="shared" si="1"/>
        <v>AA0632</v>
      </c>
      <c r="V65">
        <v>0</v>
      </c>
      <c r="W65">
        <v>0</v>
      </c>
      <c r="X65">
        <v>2</v>
      </c>
      <c r="Y65">
        <v>0</v>
      </c>
      <c r="AA65">
        <v>0</v>
      </c>
      <c r="AB65">
        <v>8</v>
      </c>
      <c r="AC65">
        <v>3</v>
      </c>
      <c r="AD65">
        <v>0</v>
      </c>
      <c r="AE65">
        <v>9</v>
      </c>
      <c r="AF65" t="s">
        <v>126</v>
      </c>
      <c r="AG65">
        <v>0</v>
      </c>
      <c r="AH65">
        <v>0</v>
      </c>
      <c r="AI65">
        <v>2</v>
      </c>
      <c r="AJ65">
        <v>0</v>
      </c>
      <c r="AK65" t="s">
        <v>175</v>
      </c>
      <c r="AL65">
        <v>31.954744000000002</v>
      </c>
      <c r="AM65" t="s">
        <v>176</v>
      </c>
      <c r="AN65">
        <v>-101.11882900000001</v>
      </c>
      <c r="AQ65" t="s">
        <v>129</v>
      </c>
      <c r="AR65">
        <v>-67</v>
      </c>
      <c r="AS65">
        <v>65</v>
      </c>
      <c r="AT65">
        <v>256</v>
      </c>
      <c r="BB65" t="str">
        <f t="shared" si="2"/>
        <v>1200</v>
      </c>
      <c r="BC65">
        <v>1</v>
      </c>
      <c r="BD65" t="str">
        <f t="shared" si="11"/>
        <v xml:space="preserve">N745MB  </v>
      </c>
      <c r="BE65">
        <v>1</v>
      </c>
      <c r="BG65">
        <v>0</v>
      </c>
      <c r="BH65">
        <v>0</v>
      </c>
      <c r="BI65">
        <v>0</v>
      </c>
      <c r="BL65" t="s">
        <v>130</v>
      </c>
      <c r="BM65">
        <v>1</v>
      </c>
      <c r="BN65">
        <v>0</v>
      </c>
      <c r="BO65">
        <v>0</v>
      </c>
      <c r="BP65">
        <v>0</v>
      </c>
      <c r="BT65">
        <v>0</v>
      </c>
      <c r="BU65">
        <v>0</v>
      </c>
      <c r="CE65" t="str">
        <f>"20:15:45.452"</f>
        <v>20:15:45.452</v>
      </c>
      <c r="CF65">
        <v>452071614</v>
      </c>
      <c r="CS65">
        <v>0</v>
      </c>
      <c r="CT65">
        <v>2</v>
      </c>
      <c r="CU65">
        <v>0</v>
      </c>
      <c r="CV65">
        <v>2</v>
      </c>
      <c r="CW65">
        <v>0</v>
      </c>
      <c r="CX65">
        <v>3</v>
      </c>
      <c r="CY65">
        <v>7</v>
      </c>
      <c r="CZ65" t="s">
        <v>131</v>
      </c>
      <c r="DA65">
        <v>116</v>
      </c>
      <c r="DB65">
        <v>0</v>
      </c>
      <c r="DC65" t="s">
        <v>132</v>
      </c>
      <c r="DD65" t="s">
        <v>133</v>
      </c>
      <c r="DG65">
        <v>14128503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0</v>
      </c>
      <c r="DO65">
        <v>0</v>
      </c>
      <c r="DP65">
        <v>1</v>
      </c>
      <c r="DQ65">
        <v>0</v>
      </c>
      <c r="DR65">
        <v>0</v>
      </c>
      <c r="DS65">
        <v>0</v>
      </c>
    </row>
    <row r="66" spans="1:123" x14ac:dyDescent="0.25">
      <c r="A66" t="str">
        <f>"11/29/2023 20:15:49.944"</f>
        <v>11/29/2023 20:15:49.944</v>
      </c>
      <c r="C66" t="str">
        <f t="shared" si="10"/>
        <v>FFDF53C0</v>
      </c>
      <c r="D66" t="s">
        <v>123</v>
      </c>
      <c r="E66">
        <v>14</v>
      </c>
      <c r="F66">
        <v>1014</v>
      </c>
      <c r="G66" t="s">
        <v>124</v>
      </c>
      <c r="J66" t="s">
        <v>125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 t="shared" ref="S66:T69" si="12">"20:15:49.508"</f>
        <v>20:15:49.508</v>
      </c>
      <c r="T66" t="str">
        <f t="shared" si="12"/>
        <v>20:15:49.508</v>
      </c>
      <c r="U66" t="str">
        <f t="shared" ref="U66:U129" si="13">"AA0632"</f>
        <v>AA0632</v>
      </c>
      <c r="V66">
        <v>0</v>
      </c>
      <c r="W66">
        <v>0</v>
      </c>
      <c r="X66">
        <v>2</v>
      </c>
      <c r="Y66">
        <v>0</v>
      </c>
      <c r="AA66">
        <v>0</v>
      </c>
      <c r="AB66">
        <v>8</v>
      </c>
      <c r="AC66">
        <v>3</v>
      </c>
      <c r="AD66">
        <v>0</v>
      </c>
      <c r="AE66">
        <v>8</v>
      </c>
      <c r="AF66" t="s">
        <v>126</v>
      </c>
      <c r="AG66">
        <v>0</v>
      </c>
      <c r="AH66">
        <v>0</v>
      </c>
      <c r="AI66">
        <v>2</v>
      </c>
      <c r="AJ66">
        <v>0</v>
      </c>
      <c r="AK66" t="s">
        <v>177</v>
      </c>
      <c r="AL66">
        <v>31.955924</v>
      </c>
      <c r="AM66" t="s">
        <v>178</v>
      </c>
      <c r="AN66">
        <v>-101.12031</v>
      </c>
      <c r="AQ66" t="s">
        <v>129</v>
      </c>
      <c r="AR66">
        <v>-69</v>
      </c>
      <c r="AS66">
        <v>63</v>
      </c>
      <c r="AT66">
        <v>128</v>
      </c>
      <c r="BB66" t="str">
        <f t="shared" ref="BB66:BB129" si="14">"1200"</f>
        <v>1200</v>
      </c>
      <c r="BC66">
        <v>1</v>
      </c>
      <c r="BD66" t="str">
        <f t="shared" si="11"/>
        <v xml:space="preserve">N745MB  </v>
      </c>
      <c r="BE66">
        <v>1</v>
      </c>
      <c r="BG66">
        <v>0</v>
      </c>
      <c r="BH66">
        <v>0</v>
      </c>
      <c r="BI66">
        <v>0</v>
      </c>
      <c r="BL66" t="s">
        <v>130</v>
      </c>
      <c r="BM66">
        <v>1</v>
      </c>
      <c r="BN66">
        <v>0</v>
      </c>
      <c r="BO66">
        <v>0</v>
      </c>
      <c r="BP66">
        <v>0</v>
      </c>
      <c r="BT66">
        <v>0</v>
      </c>
      <c r="BU66">
        <v>0</v>
      </c>
      <c r="CE66" t="str">
        <f>"20:15:49.514"</f>
        <v>20:15:49.514</v>
      </c>
      <c r="CF66">
        <v>513836182</v>
      </c>
      <c r="CS66">
        <v>0</v>
      </c>
      <c r="CT66">
        <v>1</v>
      </c>
      <c r="CU66">
        <v>0</v>
      </c>
      <c r="CV66">
        <v>2</v>
      </c>
      <c r="CW66">
        <v>0</v>
      </c>
      <c r="CX66">
        <v>3</v>
      </c>
      <c r="CY66">
        <v>7</v>
      </c>
      <c r="CZ66" t="s">
        <v>131</v>
      </c>
      <c r="DA66">
        <v>116</v>
      </c>
      <c r="DB66">
        <v>0</v>
      </c>
      <c r="DC66" t="s">
        <v>132</v>
      </c>
      <c r="DD66" t="s">
        <v>133</v>
      </c>
      <c r="DG66">
        <v>14132295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1</v>
      </c>
      <c r="DQ66">
        <v>0</v>
      </c>
      <c r="DR66">
        <v>0</v>
      </c>
      <c r="DS66">
        <v>0</v>
      </c>
    </row>
    <row r="67" spans="1:123" x14ac:dyDescent="0.25">
      <c r="A67" t="str">
        <f>"11/29/2023 20:15:49.944"</f>
        <v>11/29/2023 20:15:49.944</v>
      </c>
      <c r="C67" t="str">
        <f t="shared" si="10"/>
        <v>FFDF53C0</v>
      </c>
      <c r="D67" t="s">
        <v>135</v>
      </c>
      <c r="E67">
        <v>31</v>
      </c>
      <c r="H67">
        <v>285</v>
      </c>
      <c r="I67" t="s">
        <v>136</v>
      </c>
      <c r="J67" t="s">
        <v>137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 t="shared" si="12"/>
        <v>20:15:49.508</v>
      </c>
      <c r="T67" t="str">
        <f t="shared" si="12"/>
        <v>20:15:49.508</v>
      </c>
      <c r="U67" t="str">
        <f t="shared" si="13"/>
        <v>AA0632</v>
      </c>
      <c r="V67">
        <v>0</v>
      </c>
      <c r="W67">
        <v>0</v>
      </c>
      <c r="X67">
        <v>2</v>
      </c>
      <c r="Y67">
        <v>0</v>
      </c>
      <c r="AA67">
        <v>0</v>
      </c>
      <c r="AB67">
        <v>8</v>
      </c>
      <c r="AC67">
        <v>3</v>
      </c>
      <c r="AD67">
        <v>0</v>
      </c>
      <c r="AE67">
        <v>8</v>
      </c>
      <c r="AF67" t="s">
        <v>126</v>
      </c>
      <c r="AG67">
        <v>0</v>
      </c>
      <c r="AH67">
        <v>0</v>
      </c>
      <c r="AI67">
        <v>2</v>
      </c>
      <c r="AJ67">
        <v>0</v>
      </c>
      <c r="AK67" t="s">
        <v>177</v>
      </c>
      <c r="AL67">
        <v>31.955924</v>
      </c>
      <c r="AM67" t="s">
        <v>178</v>
      </c>
      <c r="AN67">
        <v>-101.12031</v>
      </c>
      <c r="AQ67" t="s">
        <v>129</v>
      </c>
      <c r="AR67">
        <v>-69</v>
      </c>
      <c r="AS67">
        <v>63</v>
      </c>
      <c r="AT67">
        <v>128</v>
      </c>
      <c r="BB67" t="str">
        <f t="shared" si="14"/>
        <v>1200</v>
      </c>
      <c r="BC67">
        <v>1</v>
      </c>
      <c r="BD67" t="str">
        <f t="shared" si="11"/>
        <v xml:space="preserve">N745MB  </v>
      </c>
      <c r="BE67">
        <v>1</v>
      </c>
      <c r="BG67">
        <v>0</v>
      </c>
      <c r="BH67">
        <v>0</v>
      </c>
      <c r="BI67">
        <v>0</v>
      </c>
      <c r="BL67" t="s">
        <v>130</v>
      </c>
      <c r="BM67">
        <v>1</v>
      </c>
      <c r="BN67">
        <v>0</v>
      </c>
      <c r="BO67">
        <v>0</v>
      </c>
      <c r="BP67">
        <v>0</v>
      </c>
      <c r="BT67">
        <v>0</v>
      </c>
      <c r="BU67">
        <v>0</v>
      </c>
      <c r="CE67" t="str">
        <f>"20:15:49.514"</f>
        <v>20:15:49.514</v>
      </c>
      <c r="CF67">
        <v>513836182</v>
      </c>
      <c r="CS67">
        <v>0</v>
      </c>
      <c r="CT67">
        <v>1</v>
      </c>
      <c r="CU67">
        <v>0</v>
      </c>
      <c r="CV67">
        <v>2</v>
      </c>
      <c r="CW67">
        <v>0</v>
      </c>
      <c r="CX67">
        <v>3</v>
      </c>
      <c r="CY67">
        <v>7</v>
      </c>
      <c r="CZ67" t="s">
        <v>131</v>
      </c>
      <c r="DA67">
        <v>116</v>
      </c>
      <c r="DB67">
        <v>0</v>
      </c>
      <c r="DC67" t="s">
        <v>132</v>
      </c>
      <c r="DD67" t="s">
        <v>133</v>
      </c>
      <c r="DG67">
        <v>14132295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0</v>
      </c>
      <c r="DO67">
        <v>0</v>
      </c>
      <c r="DP67">
        <v>1</v>
      </c>
      <c r="DQ67">
        <v>0</v>
      </c>
      <c r="DR67">
        <v>0</v>
      </c>
      <c r="DS67">
        <v>0</v>
      </c>
    </row>
    <row r="68" spans="1:123" x14ac:dyDescent="0.25">
      <c r="A68" t="str">
        <f>"11/29/2023 20:15:49.944"</f>
        <v>11/29/2023 20:15:49.944</v>
      </c>
      <c r="C68" t="str">
        <f t="shared" si="10"/>
        <v>FFDF53C0</v>
      </c>
      <c r="D68" t="s">
        <v>138</v>
      </c>
      <c r="E68">
        <v>3</v>
      </c>
      <c r="H68">
        <v>160</v>
      </c>
      <c r="I68" t="s">
        <v>124</v>
      </c>
      <c r="J68" t="s">
        <v>139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 t="shared" si="12"/>
        <v>20:15:49.508</v>
      </c>
      <c r="T68" t="str">
        <f t="shared" si="12"/>
        <v>20:15:49.508</v>
      </c>
      <c r="U68" t="str">
        <f t="shared" si="13"/>
        <v>AA0632</v>
      </c>
      <c r="V68">
        <v>0</v>
      </c>
      <c r="W68">
        <v>0</v>
      </c>
      <c r="X68">
        <v>2</v>
      </c>
      <c r="Y68">
        <v>0</v>
      </c>
      <c r="AA68">
        <v>0</v>
      </c>
      <c r="AB68">
        <v>8</v>
      </c>
      <c r="AC68">
        <v>3</v>
      </c>
      <c r="AD68">
        <v>0</v>
      </c>
      <c r="AE68">
        <v>8</v>
      </c>
      <c r="AF68" t="s">
        <v>126</v>
      </c>
      <c r="AG68">
        <v>0</v>
      </c>
      <c r="AH68">
        <v>0</v>
      </c>
      <c r="AI68">
        <v>2</v>
      </c>
      <c r="AJ68">
        <v>0</v>
      </c>
      <c r="AK68" t="s">
        <v>177</v>
      </c>
      <c r="AL68">
        <v>31.955924</v>
      </c>
      <c r="AM68" t="s">
        <v>178</v>
      </c>
      <c r="AN68">
        <v>-101.12031</v>
      </c>
      <c r="AQ68" t="s">
        <v>129</v>
      </c>
      <c r="AR68">
        <v>-69</v>
      </c>
      <c r="AS68">
        <v>63</v>
      </c>
      <c r="AT68">
        <v>128</v>
      </c>
      <c r="BB68" t="str">
        <f t="shared" si="14"/>
        <v>1200</v>
      </c>
      <c r="BC68">
        <v>1</v>
      </c>
      <c r="BD68" t="str">
        <f t="shared" si="11"/>
        <v xml:space="preserve">N745MB  </v>
      </c>
      <c r="BE68">
        <v>1</v>
      </c>
      <c r="BG68">
        <v>0</v>
      </c>
      <c r="BH68">
        <v>0</v>
      </c>
      <c r="BI68">
        <v>0</v>
      </c>
      <c r="BL68" t="s">
        <v>130</v>
      </c>
      <c r="BM68">
        <v>1</v>
      </c>
      <c r="BN68">
        <v>0</v>
      </c>
      <c r="BO68">
        <v>0</v>
      </c>
      <c r="BP68">
        <v>0</v>
      </c>
      <c r="BT68">
        <v>0</v>
      </c>
      <c r="BU68">
        <v>0</v>
      </c>
      <c r="CE68" t="str">
        <f>"20:15:49.514"</f>
        <v>20:15:49.514</v>
      </c>
      <c r="CF68">
        <v>513836182</v>
      </c>
      <c r="CS68">
        <v>0</v>
      </c>
      <c r="CT68">
        <v>1</v>
      </c>
      <c r="CU68">
        <v>0</v>
      </c>
      <c r="CV68">
        <v>2</v>
      </c>
      <c r="CW68">
        <v>0</v>
      </c>
      <c r="CX68">
        <v>3</v>
      </c>
      <c r="CY68">
        <v>7</v>
      </c>
      <c r="CZ68" t="s">
        <v>131</v>
      </c>
      <c r="DA68">
        <v>116</v>
      </c>
      <c r="DB68">
        <v>0</v>
      </c>
      <c r="DC68" t="s">
        <v>132</v>
      </c>
      <c r="DD68" t="s">
        <v>133</v>
      </c>
      <c r="DG68">
        <v>14132295</v>
      </c>
      <c r="DI68">
        <v>0</v>
      </c>
      <c r="DJ68">
        <v>0</v>
      </c>
      <c r="DK68">
        <v>1</v>
      </c>
      <c r="DL68">
        <v>0</v>
      </c>
      <c r="DM68">
        <v>0</v>
      </c>
      <c r="DN68">
        <v>0</v>
      </c>
      <c r="DO68">
        <v>0</v>
      </c>
      <c r="DP68">
        <v>1</v>
      </c>
      <c r="DQ68">
        <v>0</v>
      </c>
      <c r="DR68">
        <v>0</v>
      </c>
      <c r="DS68">
        <v>0</v>
      </c>
    </row>
    <row r="69" spans="1:123" x14ac:dyDescent="0.25">
      <c r="A69" t="str">
        <f>"11/29/2023 20:15:49.944"</f>
        <v>11/29/2023 20:15:49.944</v>
      </c>
      <c r="C69" t="str">
        <f t="shared" si="10"/>
        <v>FFDF53C0</v>
      </c>
      <c r="D69" t="s">
        <v>123</v>
      </c>
      <c r="E69">
        <v>1</v>
      </c>
      <c r="F69">
        <v>1001</v>
      </c>
      <c r="G69" t="s">
        <v>134</v>
      </c>
      <c r="J69" t="s">
        <v>125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 t="shared" si="12"/>
        <v>20:15:49.508</v>
      </c>
      <c r="T69" t="str">
        <f t="shared" si="12"/>
        <v>20:15:49.508</v>
      </c>
      <c r="U69" t="str">
        <f t="shared" si="13"/>
        <v>AA0632</v>
      </c>
      <c r="V69">
        <v>0</v>
      </c>
      <c r="W69">
        <v>0</v>
      </c>
      <c r="X69">
        <v>2</v>
      </c>
      <c r="Y69">
        <v>0</v>
      </c>
      <c r="AA69">
        <v>0</v>
      </c>
      <c r="AB69">
        <v>8</v>
      </c>
      <c r="AC69">
        <v>3</v>
      </c>
      <c r="AD69">
        <v>0</v>
      </c>
      <c r="AE69">
        <v>8</v>
      </c>
      <c r="AF69" t="s">
        <v>126</v>
      </c>
      <c r="AG69">
        <v>0</v>
      </c>
      <c r="AH69">
        <v>0</v>
      </c>
      <c r="AI69">
        <v>2</v>
      </c>
      <c r="AJ69">
        <v>0</v>
      </c>
      <c r="AK69" t="s">
        <v>177</v>
      </c>
      <c r="AL69">
        <v>31.955924</v>
      </c>
      <c r="AM69" t="s">
        <v>178</v>
      </c>
      <c r="AN69">
        <v>-101.12031</v>
      </c>
      <c r="AQ69" t="s">
        <v>129</v>
      </c>
      <c r="AR69">
        <v>-69</v>
      </c>
      <c r="AS69">
        <v>63</v>
      </c>
      <c r="AT69">
        <v>128</v>
      </c>
      <c r="BB69" t="str">
        <f t="shared" si="14"/>
        <v>1200</v>
      </c>
      <c r="BC69">
        <v>1</v>
      </c>
      <c r="BD69" t="str">
        <f t="shared" si="11"/>
        <v xml:space="preserve">N745MB  </v>
      </c>
      <c r="BE69">
        <v>1</v>
      </c>
      <c r="BG69">
        <v>0</v>
      </c>
      <c r="BH69">
        <v>0</v>
      </c>
      <c r="BI69">
        <v>0</v>
      </c>
      <c r="BL69" t="s">
        <v>130</v>
      </c>
      <c r="BM69">
        <v>1</v>
      </c>
      <c r="BN69">
        <v>0</v>
      </c>
      <c r="BO69">
        <v>0</v>
      </c>
      <c r="BP69">
        <v>0</v>
      </c>
      <c r="BT69">
        <v>0</v>
      </c>
      <c r="BU69">
        <v>0</v>
      </c>
      <c r="CE69" t="str">
        <f>"20:15:49.514"</f>
        <v>20:15:49.514</v>
      </c>
      <c r="CF69">
        <v>513836182</v>
      </c>
      <c r="CS69">
        <v>0</v>
      </c>
      <c r="CT69">
        <v>1</v>
      </c>
      <c r="CU69">
        <v>0</v>
      </c>
      <c r="CV69">
        <v>2</v>
      </c>
      <c r="CW69">
        <v>0</v>
      </c>
      <c r="CX69">
        <v>3</v>
      </c>
      <c r="CY69">
        <v>7</v>
      </c>
      <c r="CZ69" t="s">
        <v>131</v>
      </c>
      <c r="DA69">
        <v>116</v>
      </c>
      <c r="DB69">
        <v>0</v>
      </c>
      <c r="DC69" t="s">
        <v>132</v>
      </c>
      <c r="DD69" t="s">
        <v>133</v>
      </c>
      <c r="DG69">
        <v>14132295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0</v>
      </c>
      <c r="DO69">
        <v>0</v>
      </c>
      <c r="DP69">
        <v>1</v>
      </c>
      <c r="DQ69">
        <v>0</v>
      </c>
      <c r="DR69">
        <v>0</v>
      </c>
      <c r="DS69">
        <v>0</v>
      </c>
    </row>
    <row r="70" spans="1:123" x14ac:dyDescent="0.25">
      <c r="A70" t="str">
        <f>"11/29/2023 20:15:51.366"</f>
        <v>11/29/2023 20:15:51.366</v>
      </c>
      <c r="C70" t="str">
        <f t="shared" si="10"/>
        <v>FFDF53C0</v>
      </c>
      <c r="D70" t="s">
        <v>123</v>
      </c>
      <c r="E70">
        <v>14</v>
      </c>
      <c r="F70">
        <v>1014</v>
      </c>
      <c r="G70" t="s">
        <v>124</v>
      </c>
      <c r="J70" t="s">
        <v>125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"20:15:50.906"</f>
        <v>20:15:50.906</v>
      </c>
      <c r="T70" t="str">
        <f>"20:15:50.606"</f>
        <v>20:15:50.606</v>
      </c>
      <c r="U70" t="str">
        <f t="shared" si="13"/>
        <v>AA0632</v>
      </c>
      <c r="V70">
        <v>0</v>
      </c>
      <c r="W70">
        <v>0</v>
      </c>
      <c r="X70">
        <v>2</v>
      </c>
      <c r="Y70">
        <v>0</v>
      </c>
      <c r="AA70">
        <v>0</v>
      </c>
      <c r="AB70">
        <v>8</v>
      </c>
      <c r="AC70">
        <v>3</v>
      </c>
      <c r="AD70">
        <v>0</v>
      </c>
      <c r="AE70">
        <v>8</v>
      </c>
      <c r="AF70" t="s">
        <v>126</v>
      </c>
      <c r="AG70">
        <v>0</v>
      </c>
      <c r="AH70">
        <v>0</v>
      </c>
      <c r="AI70">
        <v>2</v>
      </c>
      <c r="AJ70">
        <v>0</v>
      </c>
      <c r="AK70" t="s">
        <v>179</v>
      </c>
      <c r="AL70">
        <v>31.956353</v>
      </c>
      <c r="AM70" t="s">
        <v>180</v>
      </c>
      <c r="AN70">
        <v>-101.120846</v>
      </c>
      <c r="AQ70" t="s">
        <v>129</v>
      </c>
      <c r="AR70">
        <v>-69</v>
      </c>
      <c r="AS70">
        <v>62</v>
      </c>
      <c r="AT70">
        <v>128</v>
      </c>
      <c r="BB70" t="str">
        <f t="shared" si="14"/>
        <v>1200</v>
      </c>
      <c r="BC70">
        <v>1</v>
      </c>
      <c r="BD70" t="str">
        <f t="shared" si="11"/>
        <v xml:space="preserve">N745MB  </v>
      </c>
      <c r="BE70">
        <v>1</v>
      </c>
      <c r="BG70">
        <v>0</v>
      </c>
      <c r="BH70">
        <v>0</v>
      </c>
      <c r="BI70">
        <v>0</v>
      </c>
      <c r="BL70" t="s">
        <v>130</v>
      </c>
      <c r="BM70">
        <v>1</v>
      </c>
      <c r="BN70">
        <v>0</v>
      </c>
      <c r="BO70">
        <v>0</v>
      </c>
      <c r="BP70">
        <v>0</v>
      </c>
      <c r="BT70">
        <v>0</v>
      </c>
      <c r="BU70">
        <v>0</v>
      </c>
      <c r="CE70" t="str">
        <f>"20:15:50.912"</f>
        <v>20:15:50.912</v>
      </c>
      <c r="CF70">
        <v>911693978</v>
      </c>
      <c r="CS70">
        <v>0</v>
      </c>
      <c r="CT70">
        <v>1</v>
      </c>
      <c r="CU70">
        <v>0</v>
      </c>
      <c r="CV70">
        <v>2</v>
      </c>
      <c r="CW70">
        <v>0</v>
      </c>
      <c r="CX70">
        <v>3</v>
      </c>
      <c r="CY70">
        <v>7</v>
      </c>
      <c r="CZ70" t="s">
        <v>131</v>
      </c>
      <c r="DA70">
        <v>116</v>
      </c>
      <c r="DB70">
        <v>0</v>
      </c>
      <c r="DC70" t="s">
        <v>132</v>
      </c>
      <c r="DD70" t="s">
        <v>133</v>
      </c>
      <c r="DG70">
        <v>14133577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1</v>
      </c>
      <c r="DQ70">
        <v>0</v>
      </c>
      <c r="DR70">
        <v>0</v>
      </c>
      <c r="DS70">
        <v>0</v>
      </c>
    </row>
    <row r="71" spans="1:123" x14ac:dyDescent="0.25">
      <c r="A71" t="str">
        <f>"11/29/2023 20:15:51.366"</f>
        <v>11/29/2023 20:15:51.366</v>
      </c>
      <c r="C71" t="str">
        <f t="shared" si="10"/>
        <v>FFDF53C0</v>
      </c>
      <c r="D71" t="s">
        <v>138</v>
      </c>
      <c r="E71">
        <v>3</v>
      </c>
      <c r="H71">
        <v>160</v>
      </c>
      <c r="I71" t="s">
        <v>124</v>
      </c>
      <c r="J71" t="s">
        <v>139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"20:15:50.906"</f>
        <v>20:15:50.906</v>
      </c>
      <c r="T71" t="str">
        <f>"20:15:50.606"</f>
        <v>20:15:50.606</v>
      </c>
      <c r="U71" t="str">
        <f t="shared" si="13"/>
        <v>AA0632</v>
      </c>
      <c r="V71">
        <v>0</v>
      </c>
      <c r="W71">
        <v>0</v>
      </c>
      <c r="X71">
        <v>2</v>
      </c>
      <c r="Y71">
        <v>0</v>
      </c>
      <c r="AA71">
        <v>0</v>
      </c>
      <c r="AB71">
        <v>8</v>
      </c>
      <c r="AC71">
        <v>3</v>
      </c>
      <c r="AD71">
        <v>0</v>
      </c>
      <c r="AE71">
        <v>8</v>
      </c>
      <c r="AF71" t="s">
        <v>126</v>
      </c>
      <c r="AG71">
        <v>0</v>
      </c>
      <c r="AH71">
        <v>0</v>
      </c>
      <c r="AI71">
        <v>2</v>
      </c>
      <c r="AJ71">
        <v>0</v>
      </c>
      <c r="AK71" t="s">
        <v>179</v>
      </c>
      <c r="AL71">
        <v>31.956353</v>
      </c>
      <c r="AM71" t="s">
        <v>180</v>
      </c>
      <c r="AN71">
        <v>-101.120846</v>
      </c>
      <c r="AQ71" t="s">
        <v>129</v>
      </c>
      <c r="AR71">
        <v>-69</v>
      </c>
      <c r="AS71">
        <v>62</v>
      </c>
      <c r="AT71">
        <v>128</v>
      </c>
      <c r="BB71" t="str">
        <f t="shared" si="14"/>
        <v>1200</v>
      </c>
      <c r="BC71">
        <v>1</v>
      </c>
      <c r="BD71" t="str">
        <f t="shared" si="11"/>
        <v xml:space="preserve">N745MB  </v>
      </c>
      <c r="BE71">
        <v>1</v>
      </c>
      <c r="BG71">
        <v>0</v>
      </c>
      <c r="BH71">
        <v>0</v>
      </c>
      <c r="BI71">
        <v>0</v>
      </c>
      <c r="BL71" t="s">
        <v>130</v>
      </c>
      <c r="BM71">
        <v>1</v>
      </c>
      <c r="BN71">
        <v>0</v>
      </c>
      <c r="BO71">
        <v>0</v>
      </c>
      <c r="BP71">
        <v>0</v>
      </c>
      <c r="BT71">
        <v>0</v>
      </c>
      <c r="BU71">
        <v>0</v>
      </c>
      <c r="CE71" t="str">
        <f>"20:15:50.912"</f>
        <v>20:15:50.912</v>
      </c>
      <c r="CF71">
        <v>911693978</v>
      </c>
      <c r="CS71">
        <v>0</v>
      </c>
      <c r="CT71">
        <v>1</v>
      </c>
      <c r="CU71">
        <v>0</v>
      </c>
      <c r="CV71">
        <v>2</v>
      </c>
      <c r="CW71">
        <v>0</v>
      </c>
      <c r="CX71">
        <v>3</v>
      </c>
      <c r="CY71">
        <v>7</v>
      </c>
      <c r="CZ71" t="s">
        <v>131</v>
      </c>
      <c r="DA71">
        <v>116</v>
      </c>
      <c r="DB71">
        <v>0</v>
      </c>
      <c r="DC71" t="s">
        <v>132</v>
      </c>
      <c r="DD71" t="s">
        <v>133</v>
      </c>
      <c r="DG71">
        <v>14133577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0</v>
      </c>
      <c r="DO71">
        <v>0</v>
      </c>
      <c r="DP71">
        <v>1</v>
      </c>
      <c r="DQ71">
        <v>0</v>
      </c>
      <c r="DR71">
        <v>0</v>
      </c>
      <c r="DS71">
        <v>0</v>
      </c>
    </row>
    <row r="72" spans="1:123" x14ac:dyDescent="0.25">
      <c r="A72" t="str">
        <f>"11/29/2023 20:15:52.647"</f>
        <v>11/29/2023 20:15:52.647</v>
      </c>
      <c r="C72" t="str">
        <f t="shared" si="10"/>
        <v>FFDF53C0</v>
      </c>
      <c r="D72" t="s">
        <v>135</v>
      </c>
      <c r="E72">
        <v>31</v>
      </c>
      <c r="H72">
        <v>285</v>
      </c>
      <c r="I72" t="s">
        <v>136</v>
      </c>
      <c r="J72" t="s">
        <v>137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"20:15:52.273"</f>
        <v>20:15:52.273</v>
      </c>
      <c r="T72" t="str">
        <f>"20:15:51.973"</f>
        <v>20:15:51.973</v>
      </c>
      <c r="U72" t="str">
        <f t="shared" si="13"/>
        <v>AA0632</v>
      </c>
      <c r="V72">
        <v>0</v>
      </c>
      <c r="W72">
        <v>0</v>
      </c>
      <c r="X72">
        <v>2</v>
      </c>
      <c r="Y72">
        <v>0</v>
      </c>
      <c r="AA72">
        <v>0</v>
      </c>
      <c r="AB72">
        <v>8</v>
      </c>
      <c r="AC72">
        <v>3</v>
      </c>
      <c r="AD72">
        <v>0</v>
      </c>
      <c r="AE72">
        <v>8</v>
      </c>
      <c r="AF72" t="s">
        <v>126</v>
      </c>
      <c r="AG72">
        <v>0</v>
      </c>
      <c r="AH72">
        <v>0</v>
      </c>
      <c r="AI72">
        <v>2</v>
      </c>
      <c r="AJ72">
        <v>0</v>
      </c>
      <c r="AK72" t="s">
        <v>181</v>
      </c>
      <c r="AL72">
        <v>31.956717999999999</v>
      </c>
      <c r="AM72" t="s">
        <v>182</v>
      </c>
      <c r="AN72">
        <v>-101.12134</v>
      </c>
      <c r="AQ72" t="s">
        <v>129</v>
      </c>
      <c r="AR72">
        <v>-70</v>
      </c>
      <c r="AS72">
        <v>61</v>
      </c>
      <c r="AT72">
        <v>128</v>
      </c>
      <c r="BB72" t="str">
        <f t="shared" si="14"/>
        <v>1200</v>
      </c>
      <c r="BC72">
        <v>1</v>
      </c>
      <c r="BD72" t="str">
        <f t="shared" si="11"/>
        <v xml:space="preserve">N745MB  </v>
      </c>
      <c r="BE72">
        <v>1</v>
      </c>
      <c r="BG72">
        <v>0</v>
      </c>
      <c r="BH72">
        <v>0</v>
      </c>
      <c r="BI72">
        <v>0</v>
      </c>
      <c r="BL72" t="s">
        <v>130</v>
      </c>
      <c r="BM72">
        <v>1</v>
      </c>
      <c r="BN72">
        <v>0</v>
      </c>
      <c r="BO72">
        <v>0</v>
      </c>
      <c r="BP72">
        <v>0</v>
      </c>
      <c r="BT72">
        <v>0</v>
      </c>
      <c r="BU72">
        <v>0</v>
      </c>
      <c r="CE72" t="str">
        <f>"20:15:52.276"</f>
        <v>20:15:52.276</v>
      </c>
      <c r="CF72">
        <v>275599937</v>
      </c>
      <c r="CS72">
        <v>0</v>
      </c>
      <c r="CT72">
        <v>1</v>
      </c>
      <c r="CU72">
        <v>0</v>
      </c>
      <c r="CV72">
        <v>2</v>
      </c>
      <c r="CW72">
        <v>0</v>
      </c>
      <c r="CX72">
        <v>3</v>
      </c>
      <c r="CY72">
        <v>7</v>
      </c>
      <c r="CZ72" t="s">
        <v>131</v>
      </c>
      <c r="DA72">
        <v>116</v>
      </c>
      <c r="DB72">
        <v>3</v>
      </c>
      <c r="DC72" t="s">
        <v>132</v>
      </c>
      <c r="DD72" t="s">
        <v>133</v>
      </c>
      <c r="DG72">
        <v>8078249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1</v>
      </c>
      <c r="DQ72">
        <v>0</v>
      </c>
      <c r="DR72">
        <v>0</v>
      </c>
      <c r="DS72">
        <v>0</v>
      </c>
    </row>
    <row r="73" spans="1:123" x14ac:dyDescent="0.25">
      <c r="A73" t="str">
        <f>"11/29/2023 20:15:52.741"</f>
        <v>11/29/2023 20:15:52.741</v>
      </c>
      <c r="C73" t="str">
        <f t="shared" si="10"/>
        <v>FFDF53C0</v>
      </c>
      <c r="D73" t="s">
        <v>123</v>
      </c>
      <c r="E73">
        <v>14</v>
      </c>
      <c r="F73">
        <v>1014</v>
      </c>
      <c r="G73" t="s">
        <v>124</v>
      </c>
      <c r="J73" t="s">
        <v>125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"20:15:52.273"</f>
        <v>20:15:52.273</v>
      </c>
      <c r="T73" t="str">
        <f>"20:15:51.973"</f>
        <v>20:15:51.973</v>
      </c>
      <c r="U73" t="str">
        <f t="shared" si="13"/>
        <v>AA0632</v>
      </c>
      <c r="V73">
        <v>0</v>
      </c>
      <c r="W73">
        <v>0</v>
      </c>
      <c r="X73">
        <v>2</v>
      </c>
      <c r="Y73">
        <v>0</v>
      </c>
      <c r="AA73">
        <v>0</v>
      </c>
      <c r="AB73">
        <v>8</v>
      </c>
      <c r="AC73">
        <v>3</v>
      </c>
      <c r="AD73">
        <v>0</v>
      </c>
      <c r="AE73">
        <v>8</v>
      </c>
      <c r="AF73" t="s">
        <v>126</v>
      </c>
      <c r="AG73">
        <v>0</v>
      </c>
      <c r="AH73">
        <v>0</v>
      </c>
      <c r="AI73">
        <v>2</v>
      </c>
      <c r="AJ73">
        <v>0</v>
      </c>
      <c r="AK73" t="s">
        <v>181</v>
      </c>
      <c r="AL73">
        <v>31.956717999999999</v>
      </c>
      <c r="AM73" t="s">
        <v>182</v>
      </c>
      <c r="AN73">
        <v>-101.12134</v>
      </c>
      <c r="AQ73" t="s">
        <v>129</v>
      </c>
      <c r="AR73">
        <v>-70</v>
      </c>
      <c r="AS73">
        <v>61</v>
      </c>
      <c r="AT73">
        <v>128</v>
      </c>
      <c r="BB73" t="str">
        <f t="shared" si="14"/>
        <v>1200</v>
      </c>
      <c r="BC73">
        <v>1</v>
      </c>
      <c r="BD73" t="str">
        <f t="shared" si="11"/>
        <v xml:space="preserve">N745MB  </v>
      </c>
      <c r="BE73">
        <v>1</v>
      </c>
      <c r="BG73">
        <v>0</v>
      </c>
      <c r="BH73">
        <v>0</v>
      </c>
      <c r="BI73">
        <v>0</v>
      </c>
      <c r="BL73" t="s">
        <v>130</v>
      </c>
      <c r="BM73">
        <v>1</v>
      </c>
      <c r="BN73">
        <v>0</v>
      </c>
      <c r="BO73">
        <v>0</v>
      </c>
      <c r="BP73">
        <v>0</v>
      </c>
      <c r="BT73">
        <v>0</v>
      </c>
      <c r="BU73">
        <v>0</v>
      </c>
      <c r="CE73" t="str">
        <f>"20:15:52.276"</f>
        <v>20:15:52.276</v>
      </c>
      <c r="CF73">
        <v>275599937</v>
      </c>
      <c r="CS73">
        <v>0</v>
      </c>
      <c r="CT73">
        <v>1</v>
      </c>
      <c r="CU73">
        <v>0</v>
      </c>
      <c r="CV73">
        <v>2</v>
      </c>
      <c r="CW73">
        <v>0</v>
      </c>
      <c r="CX73">
        <v>3</v>
      </c>
      <c r="CY73">
        <v>7</v>
      </c>
      <c r="CZ73" t="s">
        <v>131</v>
      </c>
      <c r="DA73">
        <v>116</v>
      </c>
      <c r="DB73">
        <v>3</v>
      </c>
      <c r="DC73" t="s">
        <v>132</v>
      </c>
      <c r="DD73" t="s">
        <v>133</v>
      </c>
      <c r="DG73">
        <v>8078249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0</v>
      </c>
      <c r="DO73">
        <v>0</v>
      </c>
      <c r="DP73">
        <v>1</v>
      </c>
      <c r="DQ73">
        <v>0</v>
      </c>
      <c r="DR73">
        <v>0</v>
      </c>
      <c r="DS73">
        <v>0</v>
      </c>
    </row>
    <row r="74" spans="1:123" x14ac:dyDescent="0.25">
      <c r="A74" t="str">
        <f>"11/29/2023 20:15:52.741"</f>
        <v>11/29/2023 20:15:52.741</v>
      </c>
      <c r="C74" t="str">
        <f t="shared" si="10"/>
        <v>FFDF53C0</v>
      </c>
      <c r="D74" t="s">
        <v>123</v>
      </c>
      <c r="E74">
        <v>1</v>
      </c>
      <c r="F74">
        <v>1001</v>
      </c>
      <c r="G74" t="s">
        <v>134</v>
      </c>
      <c r="J74" t="s">
        <v>125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"20:15:52.273"</f>
        <v>20:15:52.273</v>
      </c>
      <c r="T74" t="str">
        <f>"20:15:51.973"</f>
        <v>20:15:51.973</v>
      </c>
      <c r="U74" t="str">
        <f t="shared" si="13"/>
        <v>AA0632</v>
      </c>
      <c r="V74">
        <v>0</v>
      </c>
      <c r="W74">
        <v>0</v>
      </c>
      <c r="X74">
        <v>2</v>
      </c>
      <c r="Y74">
        <v>0</v>
      </c>
      <c r="AA74">
        <v>0</v>
      </c>
      <c r="AB74">
        <v>8</v>
      </c>
      <c r="AC74">
        <v>3</v>
      </c>
      <c r="AD74">
        <v>0</v>
      </c>
      <c r="AE74">
        <v>8</v>
      </c>
      <c r="AF74" t="s">
        <v>126</v>
      </c>
      <c r="AG74">
        <v>0</v>
      </c>
      <c r="AH74">
        <v>0</v>
      </c>
      <c r="AI74">
        <v>2</v>
      </c>
      <c r="AJ74">
        <v>0</v>
      </c>
      <c r="AK74" t="s">
        <v>181</v>
      </c>
      <c r="AL74">
        <v>31.956717999999999</v>
      </c>
      <c r="AM74" t="s">
        <v>182</v>
      </c>
      <c r="AN74">
        <v>-101.12134</v>
      </c>
      <c r="AQ74" t="s">
        <v>129</v>
      </c>
      <c r="AR74">
        <v>-70</v>
      </c>
      <c r="AS74">
        <v>61</v>
      </c>
      <c r="AT74">
        <v>128</v>
      </c>
      <c r="BB74" t="str">
        <f t="shared" si="14"/>
        <v>1200</v>
      </c>
      <c r="BC74">
        <v>1</v>
      </c>
      <c r="BD74" t="str">
        <f t="shared" si="11"/>
        <v xml:space="preserve">N745MB  </v>
      </c>
      <c r="BE74">
        <v>1</v>
      </c>
      <c r="BG74">
        <v>0</v>
      </c>
      <c r="BH74">
        <v>0</v>
      </c>
      <c r="BI74">
        <v>0</v>
      </c>
      <c r="BL74" t="s">
        <v>130</v>
      </c>
      <c r="BM74">
        <v>1</v>
      </c>
      <c r="BN74">
        <v>0</v>
      </c>
      <c r="BO74">
        <v>0</v>
      </c>
      <c r="BP74">
        <v>0</v>
      </c>
      <c r="BT74">
        <v>0</v>
      </c>
      <c r="BU74">
        <v>0</v>
      </c>
      <c r="CE74" t="str">
        <f>"20:15:52.276"</f>
        <v>20:15:52.276</v>
      </c>
      <c r="CF74">
        <v>275599937</v>
      </c>
      <c r="CS74">
        <v>0</v>
      </c>
      <c r="CT74">
        <v>1</v>
      </c>
      <c r="CU74">
        <v>0</v>
      </c>
      <c r="CV74">
        <v>2</v>
      </c>
      <c r="CW74">
        <v>0</v>
      </c>
      <c r="CX74">
        <v>3</v>
      </c>
      <c r="CY74">
        <v>7</v>
      </c>
      <c r="CZ74" t="s">
        <v>131</v>
      </c>
      <c r="DA74">
        <v>116</v>
      </c>
      <c r="DB74">
        <v>3</v>
      </c>
      <c r="DC74" t="s">
        <v>132</v>
      </c>
      <c r="DD74" t="s">
        <v>133</v>
      </c>
      <c r="DG74">
        <v>8078249</v>
      </c>
      <c r="DI74">
        <v>0</v>
      </c>
      <c r="DJ74">
        <v>0</v>
      </c>
      <c r="DK74">
        <v>1</v>
      </c>
      <c r="DL74">
        <v>0</v>
      </c>
      <c r="DM74">
        <v>0</v>
      </c>
      <c r="DN74">
        <v>0</v>
      </c>
      <c r="DO74">
        <v>0</v>
      </c>
      <c r="DP74">
        <v>1</v>
      </c>
      <c r="DQ74">
        <v>0</v>
      </c>
      <c r="DR74">
        <v>0</v>
      </c>
      <c r="DS74">
        <v>0</v>
      </c>
    </row>
    <row r="75" spans="1:123" x14ac:dyDescent="0.25">
      <c r="A75" t="str">
        <f>"11/29/2023 20:15:52.741"</f>
        <v>11/29/2023 20:15:52.741</v>
      </c>
      <c r="C75" t="str">
        <f t="shared" si="10"/>
        <v>FFDF53C0</v>
      </c>
      <c r="D75" t="s">
        <v>138</v>
      </c>
      <c r="E75">
        <v>3</v>
      </c>
      <c r="H75">
        <v>160</v>
      </c>
      <c r="I75" t="s">
        <v>124</v>
      </c>
      <c r="J75" t="s">
        <v>139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"20:15:52.273"</f>
        <v>20:15:52.273</v>
      </c>
      <c r="T75" t="str">
        <f>"20:15:51.973"</f>
        <v>20:15:51.973</v>
      </c>
      <c r="U75" t="str">
        <f t="shared" si="13"/>
        <v>AA0632</v>
      </c>
      <c r="V75">
        <v>0</v>
      </c>
      <c r="W75">
        <v>0</v>
      </c>
      <c r="X75">
        <v>2</v>
      </c>
      <c r="Y75">
        <v>0</v>
      </c>
      <c r="AA75">
        <v>0</v>
      </c>
      <c r="AB75">
        <v>8</v>
      </c>
      <c r="AC75">
        <v>3</v>
      </c>
      <c r="AD75">
        <v>0</v>
      </c>
      <c r="AE75">
        <v>8</v>
      </c>
      <c r="AF75" t="s">
        <v>126</v>
      </c>
      <c r="AG75">
        <v>0</v>
      </c>
      <c r="AH75">
        <v>0</v>
      </c>
      <c r="AI75">
        <v>2</v>
      </c>
      <c r="AJ75">
        <v>0</v>
      </c>
      <c r="AK75" t="s">
        <v>181</v>
      </c>
      <c r="AL75">
        <v>31.956717999999999</v>
      </c>
      <c r="AM75" t="s">
        <v>182</v>
      </c>
      <c r="AN75">
        <v>-101.12134</v>
      </c>
      <c r="AQ75" t="s">
        <v>129</v>
      </c>
      <c r="AR75">
        <v>-70</v>
      </c>
      <c r="AS75">
        <v>61</v>
      </c>
      <c r="AT75">
        <v>128</v>
      </c>
      <c r="BB75" t="str">
        <f t="shared" si="14"/>
        <v>1200</v>
      </c>
      <c r="BC75">
        <v>1</v>
      </c>
      <c r="BD75" t="str">
        <f t="shared" si="11"/>
        <v xml:space="preserve">N745MB  </v>
      </c>
      <c r="BE75">
        <v>1</v>
      </c>
      <c r="BG75">
        <v>0</v>
      </c>
      <c r="BH75">
        <v>0</v>
      </c>
      <c r="BI75">
        <v>0</v>
      </c>
      <c r="BL75" t="s">
        <v>130</v>
      </c>
      <c r="BM75">
        <v>1</v>
      </c>
      <c r="BN75">
        <v>0</v>
      </c>
      <c r="BO75">
        <v>0</v>
      </c>
      <c r="BP75">
        <v>0</v>
      </c>
      <c r="BT75">
        <v>0</v>
      </c>
      <c r="BU75">
        <v>0</v>
      </c>
      <c r="CE75" t="str">
        <f>"20:15:52.276"</f>
        <v>20:15:52.276</v>
      </c>
      <c r="CF75">
        <v>275599937</v>
      </c>
      <c r="CS75">
        <v>0</v>
      </c>
      <c r="CT75">
        <v>1</v>
      </c>
      <c r="CU75">
        <v>0</v>
      </c>
      <c r="CV75">
        <v>2</v>
      </c>
      <c r="CW75">
        <v>0</v>
      </c>
      <c r="CX75">
        <v>3</v>
      </c>
      <c r="CY75">
        <v>7</v>
      </c>
      <c r="CZ75" t="s">
        <v>131</v>
      </c>
      <c r="DA75">
        <v>116</v>
      </c>
      <c r="DB75">
        <v>3</v>
      </c>
      <c r="DC75" t="s">
        <v>132</v>
      </c>
      <c r="DD75" t="s">
        <v>133</v>
      </c>
      <c r="DG75">
        <v>8078249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0</v>
      </c>
      <c r="DO75">
        <v>0</v>
      </c>
      <c r="DP75">
        <v>1</v>
      </c>
      <c r="DQ75">
        <v>0</v>
      </c>
      <c r="DR75">
        <v>0</v>
      </c>
      <c r="DS75">
        <v>0</v>
      </c>
    </row>
    <row r="76" spans="1:123" x14ac:dyDescent="0.25">
      <c r="A76" t="str">
        <f>"11/29/2023 20:15:53.507"</f>
        <v>11/29/2023 20:15:53.507</v>
      </c>
      <c r="C76" t="str">
        <f t="shared" ref="C76:C81" si="15">"FFD353C0"</f>
        <v>FFD353C0</v>
      </c>
      <c r="D76" t="s">
        <v>123</v>
      </c>
      <c r="E76">
        <v>14</v>
      </c>
      <c r="F76">
        <v>1014</v>
      </c>
      <c r="G76" t="s">
        <v>124</v>
      </c>
      <c r="J76" t="s">
        <v>125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"20:15:52.828"</f>
        <v>20:15:52.828</v>
      </c>
      <c r="T76" t="str">
        <f>"20:15:51.128"</f>
        <v>20:15:51.128</v>
      </c>
      <c r="U76" t="str">
        <f t="shared" si="13"/>
        <v>AA0632</v>
      </c>
      <c r="V76">
        <v>0</v>
      </c>
      <c r="W76">
        <v>0</v>
      </c>
      <c r="X76">
        <v>2</v>
      </c>
      <c r="Y76">
        <v>0</v>
      </c>
      <c r="AA76">
        <v>0</v>
      </c>
      <c r="AB76">
        <v>8</v>
      </c>
      <c r="AC76">
        <v>3</v>
      </c>
      <c r="AD76">
        <v>0</v>
      </c>
      <c r="AE76">
        <v>8</v>
      </c>
      <c r="AF76" t="s">
        <v>126</v>
      </c>
      <c r="AG76">
        <v>0</v>
      </c>
      <c r="AH76">
        <v>0</v>
      </c>
      <c r="AI76">
        <v>2</v>
      </c>
      <c r="AJ76">
        <v>0</v>
      </c>
      <c r="AK76" t="s">
        <v>183</v>
      </c>
      <c r="AL76">
        <v>31.956911000000002</v>
      </c>
      <c r="AM76" t="s">
        <v>184</v>
      </c>
      <c r="AN76">
        <v>-101.121576</v>
      </c>
      <c r="AQ76" t="s">
        <v>129</v>
      </c>
      <c r="AR76">
        <v>-69</v>
      </c>
      <c r="AS76">
        <v>62</v>
      </c>
      <c r="AT76">
        <v>128</v>
      </c>
      <c r="BB76" t="str">
        <f t="shared" si="14"/>
        <v>1200</v>
      </c>
      <c r="BC76">
        <v>1</v>
      </c>
      <c r="BG76">
        <v>0</v>
      </c>
      <c r="BH76">
        <v>0</v>
      </c>
      <c r="BI76">
        <v>0</v>
      </c>
      <c r="BL76" t="s">
        <v>130</v>
      </c>
      <c r="BM76">
        <v>1</v>
      </c>
      <c r="BN76">
        <v>0</v>
      </c>
      <c r="BO76">
        <v>0</v>
      </c>
      <c r="BP76">
        <v>0</v>
      </c>
      <c r="BT76">
        <v>0</v>
      </c>
      <c r="BU76">
        <v>0</v>
      </c>
      <c r="CE76" t="str">
        <f>"20:15:52.832"</f>
        <v>20:15:52.832</v>
      </c>
      <c r="CF76">
        <v>831575163</v>
      </c>
      <c r="CS76">
        <v>0</v>
      </c>
      <c r="CT76">
        <v>1</v>
      </c>
      <c r="CU76">
        <v>0</v>
      </c>
      <c r="CV76">
        <v>2</v>
      </c>
      <c r="CW76">
        <v>0</v>
      </c>
      <c r="CX76">
        <v>3</v>
      </c>
      <c r="CY76">
        <v>7</v>
      </c>
      <c r="CZ76" t="s">
        <v>131</v>
      </c>
      <c r="DA76">
        <v>483</v>
      </c>
      <c r="DB76">
        <v>1</v>
      </c>
      <c r="DC76" t="s">
        <v>169</v>
      </c>
      <c r="DD76" t="s">
        <v>170</v>
      </c>
      <c r="DG76">
        <v>7286514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1</v>
      </c>
      <c r="DQ76">
        <v>0</v>
      </c>
      <c r="DR76">
        <v>0</v>
      </c>
      <c r="DS76">
        <v>1</v>
      </c>
    </row>
    <row r="77" spans="1:123" x14ac:dyDescent="0.25">
      <c r="A77" t="str">
        <f>"11/29/2023 20:15:53.507"</f>
        <v>11/29/2023 20:15:53.507</v>
      </c>
      <c r="C77" t="str">
        <f t="shared" si="15"/>
        <v>FFD353C0</v>
      </c>
      <c r="D77" t="s">
        <v>138</v>
      </c>
      <c r="E77">
        <v>3</v>
      </c>
      <c r="H77">
        <v>160</v>
      </c>
      <c r="I77" t="s">
        <v>124</v>
      </c>
      <c r="J77" t="s">
        <v>139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"20:15:52.828"</f>
        <v>20:15:52.828</v>
      </c>
      <c r="T77" t="str">
        <f>"20:15:51.128"</f>
        <v>20:15:51.128</v>
      </c>
      <c r="U77" t="str">
        <f t="shared" si="13"/>
        <v>AA0632</v>
      </c>
      <c r="V77">
        <v>0</v>
      </c>
      <c r="W77">
        <v>0</v>
      </c>
      <c r="X77">
        <v>2</v>
      </c>
      <c r="Y77">
        <v>0</v>
      </c>
      <c r="AA77">
        <v>0</v>
      </c>
      <c r="AB77">
        <v>8</v>
      </c>
      <c r="AC77">
        <v>3</v>
      </c>
      <c r="AD77">
        <v>0</v>
      </c>
      <c r="AE77">
        <v>8</v>
      </c>
      <c r="AF77" t="s">
        <v>126</v>
      </c>
      <c r="AG77">
        <v>0</v>
      </c>
      <c r="AH77">
        <v>0</v>
      </c>
      <c r="AI77">
        <v>2</v>
      </c>
      <c r="AJ77">
        <v>0</v>
      </c>
      <c r="AK77" t="s">
        <v>183</v>
      </c>
      <c r="AL77">
        <v>31.956911000000002</v>
      </c>
      <c r="AM77" t="s">
        <v>184</v>
      </c>
      <c r="AN77">
        <v>-101.121576</v>
      </c>
      <c r="AQ77" t="s">
        <v>129</v>
      </c>
      <c r="AR77">
        <v>-69</v>
      </c>
      <c r="AS77">
        <v>62</v>
      </c>
      <c r="AT77">
        <v>128</v>
      </c>
      <c r="BB77" t="str">
        <f t="shared" si="14"/>
        <v>1200</v>
      </c>
      <c r="BC77">
        <v>1</v>
      </c>
      <c r="BG77">
        <v>0</v>
      </c>
      <c r="BH77">
        <v>0</v>
      </c>
      <c r="BI77">
        <v>0</v>
      </c>
      <c r="BL77" t="s">
        <v>130</v>
      </c>
      <c r="BM77">
        <v>1</v>
      </c>
      <c r="BN77">
        <v>0</v>
      </c>
      <c r="BO77">
        <v>0</v>
      </c>
      <c r="BP77">
        <v>0</v>
      </c>
      <c r="BT77">
        <v>0</v>
      </c>
      <c r="BU77">
        <v>0</v>
      </c>
      <c r="CE77" t="str">
        <f>"20:15:52.832"</f>
        <v>20:15:52.832</v>
      </c>
      <c r="CF77">
        <v>831575163</v>
      </c>
      <c r="CS77">
        <v>0</v>
      </c>
      <c r="CT77">
        <v>1</v>
      </c>
      <c r="CU77">
        <v>0</v>
      </c>
      <c r="CV77">
        <v>2</v>
      </c>
      <c r="CW77">
        <v>0</v>
      </c>
      <c r="CX77">
        <v>3</v>
      </c>
      <c r="CY77">
        <v>7</v>
      </c>
      <c r="CZ77" t="s">
        <v>131</v>
      </c>
      <c r="DA77">
        <v>483</v>
      </c>
      <c r="DB77">
        <v>1</v>
      </c>
      <c r="DC77" t="s">
        <v>169</v>
      </c>
      <c r="DD77" t="s">
        <v>170</v>
      </c>
      <c r="DG77">
        <v>7286514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0</v>
      </c>
      <c r="DO77">
        <v>0</v>
      </c>
      <c r="DP77">
        <v>1</v>
      </c>
      <c r="DQ77">
        <v>0</v>
      </c>
      <c r="DR77">
        <v>0</v>
      </c>
      <c r="DS77">
        <v>1</v>
      </c>
    </row>
    <row r="78" spans="1:123" x14ac:dyDescent="0.25">
      <c r="A78" t="str">
        <f>"11/29/2023 20:15:54.460"</f>
        <v>11/29/2023 20:15:54.460</v>
      </c>
      <c r="C78" t="str">
        <f t="shared" si="15"/>
        <v>FFD353C0</v>
      </c>
      <c r="D78" t="s">
        <v>123</v>
      </c>
      <c r="E78">
        <v>14</v>
      </c>
      <c r="F78">
        <v>1014</v>
      </c>
      <c r="G78" t="s">
        <v>124</v>
      </c>
      <c r="J78" t="s">
        <v>125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"20:15:53.898"</f>
        <v>20:15:53.898</v>
      </c>
      <c r="T78" t="str">
        <f>"20:15:51.098"</f>
        <v>20:15:51.098</v>
      </c>
      <c r="U78" t="str">
        <f t="shared" si="13"/>
        <v>AA0632</v>
      </c>
      <c r="V78">
        <v>0</v>
      </c>
      <c r="W78">
        <v>0</v>
      </c>
      <c r="X78">
        <v>2</v>
      </c>
      <c r="Y78">
        <v>0</v>
      </c>
      <c r="AA78">
        <v>0</v>
      </c>
      <c r="AB78">
        <v>8</v>
      </c>
      <c r="AC78">
        <v>3</v>
      </c>
      <c r="AD78">
        <v>0</v>
      </c>
      <c r="AE78">
        <v>8</v>
      </c>
      <c r="AF78" t="s">
        <v>126</v>
      </c>
      <c r="AG78">
        <v>0</v>
      </c>
      <c r="AH78">
        <v>0</v>
      </c>
      <c r="AI78">
        <v>2</v>
      </c>
      <c r="AJ78">
        <v>0</v>
      </c>
      <c r="AK78" t="s">
        <v>185</v>
      </c>
      <c r="AL78">
        <v>31.957169</v>
      </c>
      <c r="AM78" t="s">
        <v>186</v>
      </c>
      <c r="AN78">
        <v>-101.121962</v>
      </c>
      <c r="AQ78" t="s">
        <v>129</v>
      </c>
      <c r="AR78">
        <v>-69</v>
      </c>
      <c r="AS78">
        <v>62</v>
      </c>
      <c r="AT78">
        <v>128</v>
      </c>
      <c r="BB78" t="str">
        <f t="shared" si="14"/>
        <v>1200</v>
      </c>
      <c r="BC78">
        <v>1</v>
      </c>
      <c r="BG78">
        <v>0</v>
      </c>
      <c r="BH78">
        <v>0</v>
      </c>
      <c r="BI78">
        <v>0</v>
      </c>
      <c r="BL78" t="s">
        <v>130</v>
      </c>
      <c r="BM78">
        <v>1</v>
      </c>
      <c r="BN78">
        <v>0</v>
      </c>
      <c r="BO78">
        <v>0</v>
      </c>
      <c r="BP78">
        <v>0</v>
      </c>
      <c r="BT78">
        <v>0</v>
      </c>
      <c r="BU78">
        <v>0</v>
      </c>
      <c r="CE78" t="str">
        <f>"20:15:53.900"</f>
        <v>20:15:53.900</v>
      </c>
      <c r="CF78">
        <v>899501417</v>
      </c>
      <c r="CS78">
        <v>0</v>
      </c>
      <c r="CT78">
        <v>1</v>
      </c>
      <c r="CU78">
        <v>0</v>
      </c>
      <c r="CV78">
        <v>2</v>
      </c>
      <c r="CW78">
        <v>0</v>
      </c>
      <c r="CX78">
        <v>1</v>
      </c>
      <c r="CY78">
        <v>7</v>
      </c>
      <c r="CZ78" t="s">
        <v>131</v>
      </c>
      <c r="DA78">
        <v>483</v>
      </c>
      <c r="DB78">
        <v>0</v>
      </c>
      <c r="DC78" t="s">
        <v>169</v>
      </c>
      <c r="DD78" t="s">
        <v>170</v>
      </c>
      <c r="DG78">
        <v>7286692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1</v>
      </c>
      <c r="DQ78">
        <v>0</v>
      </c>
      <c r="DR78">
        <v>0</v>
      </c>
      <c r="DS78">
        <v>1</v>
      </c>
    </row>
    <row r="79" spans="1:123" x14ac:dyDescent="0.25">
      <c r="A79" t="str">
        <f>"11/29/2023 20:15:54.460"</f>
        <v>11/29/2023 20:15:54.460</v>
      </c>
      <c r="C79" t="str">
        <f t="shared" si="15"/>
        <v>FFD353C0</v>
      </c>
      <c r="D79" t="s">
        <v>138</v>
      </c>
      <c r="E79">
        <v>3</v>
      </c>
      <c r="H79">
        <v>160</v>
      </c>
      <c r="I79" t="s">
        <v>124</v>
      </c>
      <c r="J79" t="s">
        <v>139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"20:15:53.898"</f>
        <v>20:15:53.898</v>
      </c>
      <c r="T79" t="str">
        <f>"20:15:51.098"</f>
        <v>20:15:51.098</v>
      </c>
      <c r="U79" t="str">
        <f t="shared" si="13"/>
        <v>AA0632</v>
      </c>
      <c r="V79">
        <v>0</v>
      </c>
      <c r="W79">
        <v>0</v>
      </c>
      <c r="X79">
        <v>2</v>
      </c>
      <c r="Y79">
        <v>0</v>
      </c>
      <c r="AA79">
        <v>0</v>
      </c>
      <c r="AB79">
        <v>8</v>
      </c>
      <c r="AC79">
        <v>3</v>
      </c>
      <c r="AD79">
        <v>0</v>
      </c>
      <c r="AE79">
        <v>8</v>
      </c>
      <c r="AF79" t="s">
        <v>126</v>
      </c>
      <c r="AG79">
        <v>0</v>
      </c>
      <c r="AH79">
        <v>0</v>
      </c>
      <c r="AI79">
        <v>2</v>
      </c>
      <c r="AJ79">
        <v>0</v>
      </c>
      <c r="AK79" t="s">
        <v>185</v>
      </c>
      <c r="AL79">
        <v>31.957169</v>
      </c>
      <c r="AM79" t="s">
        <v>186</v>
      </c>
      <c r="AN79">
        <v>-101.121962</v>
      </c>
      <c r="AQ79" t="s">
        <v>129</v>
      </c>
      <c r="AR79">
        <v>-69</v>
      </c>
      <c r="AS79">
        <v>62</v>
      </c>
      <c r="AT79">
        <v>128</v>
      </c>
      <c r="BB79" t="str">
        <f t="shared" si="14"/>
        <v>1200</v>
      </c>
      <c r="BC79">
        <v>1</v>
      </c>
      <c r="BG79">
        <v>0</v>
      </c>
      <c r="BH79">
        <v>0</v>
      </c>
      <c r="BI79">
        <v>0</v>
      </c>
      <c r="BL79" t="s">
        <v>130</v>
      </c>
      <c r="BM79">
        <v>1</v>
      </c>
      <c r="BN79">
        <v>0</v>
      </c>
      <c r="BO79">
        <v>0</v>
      </c>
      <c r="BP79">
        <v>0</v>
      </c>
      <c r="BT79">
        <v>0</v>
      </c>
      <c r="BU79">
        <v>0</v>
      </c>
      <c r="CE79" t="str">
        <f>"20:15:53.900"</f>
        <v>20:15:53.900</v>
      </c>
      <c r="CF79">
        <v>899501417</v>
      </c>
      <c r="CS79">
        <v>0</v>
      </c>
      <c r="CT79">
        <v>1</v>
      </c>
      <c r="CU79">
        <v>0</v>
      </c>
      <c r="CV79">
        <v>2</v>
      </c>
      <c r="CW79">
        <v>0</v>
      </c>
      <c r="CX79">
        <v>1</v>
      </c>
      <c r="CY79">
        <v>7</v>
      </c>
      <c r="CZ79" t="s">
        <v>131</v>
      </c>
      <c r="DA79">
        <v>483</v>
      </c>
      <c r="DB79">
        <v>0</v>
      </c>
      <c r="DC79" t="s">
        <v>169</v>
      </c>
      <c r="DD79" t="s">
        <v>170</v>
      </c>
      <c r="DG79">
        <v>7286692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0</v>
      </c>
      <c r="DO79">
        <v>0</v>
      </c>
      <c r="DP79">
        <v>1</v>
      </c>
      <c r="DQ79">
        <v>0</v>
      </c>
      <c r="DR79">
        <v>0</v>
      </c>
      <c r="DS79">
        <v>1</v>
      </c>
    </row>
    <row r="80" spans="1:123" x14ac:dyDescent="0.25">
      <c r="A80" t="str">
        <f>"11/29/2023 20:15:55.288"</f>
        <v>11/29/2023 20:15:55.288</v>
      </c>
      <c r="C80" t="str">
        <f t="shared" si="15"/>
        <v>FFD353C0</v>
      </c>
      <c r="D80" t="s">
        <v>123</v>
      </c>
      <c r="E80">
        <v>14</v>
      </c>
      <c r="F80">
        <v>1014</v>
      </c>
      <c r="G80" t="s">
        <v>124</v>
      </c>
      <c r="J80" t="s">
        <v>125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"20:15:54.813"</f>
        <v>20:15:54.813</v>
      </c>
      <c r="T80" t="str">
        <f>"20:15:51.113"</f>
        <v>20:15:51.113</v>
      </c>
      <c r="U80" t="str">
        <f t="shared" si="13"/>
        <v>AA0632</v>
      </c>
      <c r="V80">
        <v>0</v>
      </c>
      <c r="W80">
        <v>0</v>
      </c>
      <c r="X80">
        <v>2</v>
      </c>
      <c r="Y80">
        <v>0</v>
      </c>
      <c r="AA80">
        <v>0</v>
      </c>
      <c r="AB80">
        <v>8</v>
      </c>
      <c r="AC80">
        <v>3</v>
      </c>
      <c r="AD80">
        <v>0</v>
      </c>
      <c r="AE80">
        <v>8</v>
      </c>
      <c r="AF80" t="s">
        <v>126</v>
      </c>
      <c r="AG80">
        <v>0</v>
      </c>
      <c r="AH80">
        <v>0</v>
      </c>
      <c r="AI80">
        <v>2</v>
      </c>
      <c r="AJ80">
        <v>0</v>
      </c>
      <c r="AK80" t="s">
        <v>187</v>
      </c>
      <c r="AL80">
        <v>31.957469</v>
      </c>
      <c r="AM80" t="s">
        <v>188</v>
      </c>
      <c r="AN80">
        <v>-101.122305</v>
      </c>
      <c r="AQ80" t="s">
        <v>129</v>
      </c>
      <c r="AR80">
        <v>-69</v>
      </c>
      <c r="AS80">
        <v>62</v>
      </c>
      <c r="AT80">
        <v>128</v>
      </c>
      <c r="BB80" t="str">
        <f t="shared" si="14"/>
        <v>1200</v>
      </c>
      <c r="BC80">
        <v>1</v>
      </c>
      <c r="BG80">
        <v>0</v>
      </c>
      <c r="BH80">
        <v>0</v>
      </c>
      <c r="BI80">
        <v>0</v>
      </c>
      <c r="BL80" t="s">
        <v>130</v>
      </c>
      <c r="BM80">
        <v>1</v>
      </c>
      <c r="BN80">
        <v>0</v>
      </c>
      <c r="BO80">
        <v>0</v>
      </c>
      <c r="BP80">
        <v>0</v>
      </c>
      <c r="BT80">
        <v>0</v>
      </c>
      <c r="BU80">
        <v>0</v>
      </c>
      <c r="CE80" t="str">
        <f>"20:15:54.813"</f>
        <v>20:15:54.813</v>
      </c>
      <c r="CF80">
        <v>813438106</v>
      </c>
      <c r="CS80">
        <v>0</v>
      </c>
      <c r="CT80">
        <v>1</v>
      </c>
      <c r="CU80">
        <v>0</v>
      </c>
      <c r="CV80">
        <v>2</v>
      </c>
      <c r="CW80">
        <v>0</v>
      </c>
      <c r="CX80">
        <v>2</v>
      </c>
      <c r="CY80">
        <v>7</v>
      </c>
      <c r="CZ80" t="s">
        <v>131</v>
      </c>
      <c r="DA80">
        <v>483</v>
      </c>
      <c r="DB80">
        <v>1</v>
      </c>
      <c r="DC80" t="s">
        <v>169</v>
      </c>
      <c r="DD80" t="s">
        <v>170</v>
      </c>
      <c r="DG80">
        <v>7286834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1</v>
      </c>
      <c r="DQ80">
        <v>0</v>
      </c>
      <c r="DR80">
        <v>0</v>
      </c>
      <c r="DS80">
        <v>1</v>
      </c>
    </row>
    <row r="81" spans="1:123" x14ac:dyDescent="0.25">
      <c r="A81" t="str">
        <f>"11/29/2023 20:15:55.351"</f>
        <v>11/29/2023 20:15:55.351</v>
      </c>
      <c r="C81" t="str">
        <f t="shared" si="15"/>
        <v>FFD353C0</v>
      </c>
      <c r="D81" t="s">
        <v>138</v>
      </c>
      <c r="E81">
        <v>3</v>
      </c>
      <c r="H81">
        <v>160</v>
      </c>
      <c r="I81" t="s">
        <v>124</v>
      </c>
      <c r="J81" t="s">
        <v>139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"20:15:54.813"</f>
        <v>20:15:54.813</v>
      </c>
      <c r="T81" t="str">
        <f>"20:15:51.113"</f>
        <v>20:15:51.113</v>
      </c>
      <c r="U81" t="str">
        <f t="shared" si="13"/>
        <v>AA0632</v>
      </c>
      <c r="V81">
        <v>0</v>
      </c>
      <c r="W81">
        <v>0</v>
      </c>
      <c r="X81">
        <v>2</v>
      </c>
      <c r="Y81">
        <v>0</v>
      </c>
      <c r="AA81">
        <v>0</v>
      </c>
      <c r="AB81">
        <v>8</v>
      </c>
      <c r="AC81">
        <v>3</v>
      </c>
      <c r="AD81">
        <v>0</v>
      </c>
      <c r="AE81">
        <v>8</v>
      </c>
      <c r="AF81" t="s">
        <v>126</v>
      </c>
      <c r="AG81">
        <v>0</v>
      </c>
      <c r="AH81">
        <v>0</v>
      </c>
      <c r="AI81">
        <v>2</v>
      </c>
      <c r="AJ81">
        <v>0</v>
      </c>
      <c r="AK81" t="s">
        <v>187</v>
      </c>
      <c r="AL81">
        <v>31.957469</v>
      </c>
      <c r="AM81" t="s">
        <v>188</v>
      </c>
      <c r="AN81">
        <v>-101.122305</v>
      </c>
      <c r="AQ81" t="s">
        <v>129</v>
      </c>
      <c r="AR81">
        <v>-69</v>
      </c>
      <c r="AS81">
        <v>62</v>
      </c>
      <c r="AT81">
        <v>128</v>
      </c>
      <c r="BB81" t="str">
        <f t="shared" si="14"/>
        <v>1200</v>
      </c>
      <c r="BC81">
        <v>1</v>
      </c>
      <c r="BG81">
        <v>0</v>
      </c>
      <c r="BH81">
        <v>0</v>
      </c>
      <c r="BI81">
        <v>0</v>
      </c>
      <c r="BL81" t="s">
        <v>130</v>
      </c>
      <c r="BM81">
        <v>1</v>
      </c>
      <c r="BN81">
        <v>0</v>
      </c>
      <c r="BO81">
        <v>0</v>
      </c>
      <c r="BP81">
        <v>0</v>
      </c>
      <c r="BT81">
        <v>0</v>
      </c>
      <c r="BU81">
        <v>0</v>
      </c>
      <c r="CE81" t="str">
        <f>"20:15:54.813"</f>
        <v>20:15:54.813</v>
      </c>
      <c r="CF81">
        <v>813438106</v>
      </c>
      <c r="CS81">
        <v>0</v>
      </c>
      <c r="CT81">
        <v>1</v>
      </c>
      <c r="CU81">
        <v>0</v>
      </c>
      <c r="CV81">
        <v>2</v>
      </c>
      <c r="CW81">
        <v>0</v>
      </c>
      <c r="CX81">
        <v>2</v>
      </c>
      <c r="CY81">
        <v>7</v>
      </c>
      <c r="CZ81" t="s">
        <v>131</v>
      </c>
      <c r="DA81">
        <v>483</v>
      </c>
      <c r="DB81">
        <v>1</v>
      </c>
      <c r="DC81" t="s">
        <v>169</v>
      </c>
      <c r="DD81" t="s">
        <v>170</v>
      </c>
      <c r="DG81">
        <v>7286834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0</v>
      </c>
      <c r="DO81">
        <v>0</v>
      </c>
      <c r="DP81">
        <v>1</v>
      </c>
      <c r="DQ81">
        <v>0</v>
      </c>
      <c r="DR81">
        <v>0</v>
      </c>
      <c r="DS81">
        <v>1</v>
      </c>
    </row>
    <row r="82" spans="1:123" x14ac:dyDescent="0.25">
      <c r="A82" t="str">
        <f>"11/29/2023 20:16:09.101"</f>
        <v>11/29/2023 20:16:09.101</v>
      </c>
      <c r="C82" t="str">
        <f t="shared" ref="C82:C113" si="16">"FFDF53C0"</f>
        <v>FFDF53C0</v>
      </c>
      <c r="D82" t="s">
        <v>123</v>
      </c>
      <c r="E82">
        <v>14</v>
      </c>
      <c r="F82">
        <v>1014</v>
      </c>
      <c r="G82" t="s">
        <v>124</v>
      </c>
      <c r="J82" t="s">
        <v>125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"20:16:08.742"</f>
        <v>20:16:08.742</v>
      </c>
      <c r="T82" t="str">
        <f>"20:16:08.242"</f>
        <v>20:16:08.242</v>
      </c>
      <c r="U82" t="str">
        <f t="shared" si="13"/>
        <v>AA0632</v>
      </c>
      <c r="V82">
        <v>0</v>
      </c>
      <c r="W82">
        <v>0</v>
      </c>
      <c r="X82">
        <v>2</v>
      </c>
      <c r="Y82">
        <v>0</v>
      </c>
      <c r="AA82">
        <v>0</v>
      </c>
      <c r="AB82">
        <v>8</v>
      </c>
      <c r="AC82">
        <v>3</v>
      </c>
      <c r="AD82">
        <v>0</v>
      </c>
      <c r="AE82">
        <v>9</v>
      </c>
      <c r="AF82" t="s">
        <v>126</v>
      </c>
      <c r="AG82">
        <v>0</v>
      </c>
      <c r="AH82">
        <v>0</v>
      </c>
      <c r="AI82">
        <v>2</v>
      </c>
      <c r="AJ82">
        <v>0</v>
      </c>
      <c r="AK82" t="s">
        <v>189</v>
      </c>
      <c r="AL82">
        <v>31.960709000000001</v>
      </c>
      <c r="AM82" t="s">
        <v>190</v>
      </c>
      <c r="AN82">
        <v>-101.128078</v>
      </c>
      <c r="AQ82" t="s">
        <v>129</v>
      </c>
      <c r="AR82">
        <v>-81</v>
      </c>
      <c r="AS82">
        <v>43</v>
      </c>
      <c r="AT82">
        <v>0</v>
      </c>
      <c r="BB82" t="str">
        <f t="shared" si="14"/>
        <v>1200</v>
      </c>
      <c r="BC82">
        <v>1</v>
      </c>
      <c r="BD82" t="str">
        <f t="shared" ref="BD82:BD145" si="17">"N745MB  "</f>
        <v xml:space="preserve">N745MB  </v>
      </c>
      <c r="BE82">
        <v>1</v>
      </c>
      <c r="BG82">
        <v>0</v>
      </c>
      <c r="BH82">
        <v>0</v>
      </c>
      <c r="BI82">
        <v>0</v>
      </c>
      <c r="BL82" t="s">
        <v>130</v>
      </c>
      <c r="BM82">
        <v>1</v>
      </c>
      <c r="BN82">
        <v>0</v>
      </c>
      <c r="BO82">
        <v>0</v>
      </c>
      <c r="BP82">
        <v>0</v>
      </c>
      <c r="BT82">
        <v>0</v>
      </c>
      <c r="BU82">
        <v>0</v>
      </c>
      <c r="CE82" t="str">
        <f>"20:16:08.748"</f>
        <v>20:16:08.748</v>
      </c>
      <c r="CF82">
        <v>748477550</v>
      </c>
      <c r="CS82">
        <v>0</v>
      </c>
      <c r="CT82">
        <v>1</v>
      </c>
      <c r="CU82">
        <v>0</v>
      </c>
      <c r="CV82">
        <v>2</v>
      </c>
      <c r="CW82">
        <v>0</v>
      </c>
      <c r="CX82">
        <v>2</v>
      </c>
      <c r="CY82">
        <v>7</v>
      </c>
      <c r="CZ82" t="s">
        <v>131</v>
      </c>
      <c r="DA82">
        <v>483</v>
      </c>
      <c r="DB82">
        <v>1</v>
      </c>
      <c r="DC82" t="s">
        <v>169</v>
      </c>
      <c r="DD82" t="s">
        <v>170</v>
      </c>
      <c r="DG82">
        <v>7289083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1</v>
      </c>
      <c r="DQ82">
        <v>0</v>
      </c>
      <c r="DR82">
        <v>0</v>
      </c>
      <c r="DS82">
        <v>0</v>
      </c>
    </row>
    <row r="83" spans="1:123" x14ac:dyDescent="0.25">
      <c r="A83" t="str">
        <f>"11/29/2023 20:16:09.101"</f>
        <v>11/29/2023 20:16:09.101</v>
      </c>
      <c r="C83" t="str">
        <f t="shared" si="16"/>
        <v>FFDF53C0</v>
      </c>
      <c r="D83" t="s">
        <v>138</v>
      </c>
      <c r="E83">
        <v>3</v>
      </c>
      <c r="H83">
        <v>160</v>
      </c>
      <c r="I83" t="s">
        <v>124</v>
      </c>
      <c r="J83" t="s">
        <v>139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"20:16:08.742"</f>
        <v>20:16:08.742</v>
      </c>
      <c r="T83" t="str">
        <f>"20:16:08.242"</f>
        <v>20:16:08.242</v>
      </c>
      <c r="U83" t="str">
        <f t="shared" si="13"/>
        <v>AA0632</v>
      </c>
      <c r="V83">
        <v>0</v>
      </c>
      <c r="W83">
        <v>0</v>
      </c>
      <c r="X83">
        <v>2</v>
      </c>
      <c r="Y83">
        <v>0</v>
      </c>
      <c r="AA83">
        <v>0</v>
      </c>
      <c r="AB83">
        <v>8</v>
      </c>
      <c r="AC83">
        <v>3</v>
      </c>
      <c r="AD83">
        <v>0</v>
      </c>
      <c r="AE83">
        <v>9</v>
      </c>
      <c r="AF83" t="s">
        <v>126</v>
      </c>
      <c r="AG83">
        <v>0</v>
      </c>
      <c r="AH83">
        <v>0</v>
      </c>
      <c r="AI83">
        <v>2</v>
      </c>
      <c r="AJ83">
        <v>0</v>
      </c>
      <c r="AK83" t="s">
        <v>189</v>
      </c>
      <c r="AL83">
        <v>31.960709000000001</v>
      </c>
      <c r="AM83" t="s">
        <v>190</v>
      </c>
      <c r="AN83">
        <v>-101.128078</v>
      </c>
      <c r="AQ83" t="s">
        <v>129</v>
      </c>
      <c r="AR83">
        <v>-81</v>
      </c>
      <c r="AS83">
        <v>43</v>
      </c>
      <c r="AT83">
        <v>0</v>
      </c>
      <c r="BB83" t="str">
        <f t="shared" si="14"/>
        <v>1200</v>
      </c>
      <c r="BC83">
        <v>1</v>
      </c>
      <c r="BD83" t="str">
        <f t="shared" si="17"/>
        <v xml:space="preserve">N745MB  </v>
      </c>
      <c r="BE83">
        <v>1</v>
      </c>
      <c r="BG83">
        <v>0</v>
      </c>
      <c r="BH83">
        <v>0</v>
      </c>
      <c r="BI83">
        <v>0</v>
      </c>
      <c r="BL83" t="s">
        <v>130</v>
      </c>
      <c r="BM83">
        <v>1</v>
      </c>
      <c r="BN83">
        <v>0</v>
      </c>
      <c r="BO83">
        <v>0</v>
      </c>
      <c r="BP83">
        <v>0</v>
      </c>
      <c r="BT83">
        <v>0</v>
      </c>
      <c r="BU83">
        <v>0</v>
      </c>
      <c r="CE83" t="str">
        <f>"20:16:08.748"</f>
        <v>20:16:08.748</v>
      </c>
      <c r="CF83">
        <v>748477550</v>
      </c>
      <c r="CS83">
        <v>0</v>
      </c>
      <c r="CT83">
        <v>1</v>
      </c>
      <c r="CU83">
        <v>0</v>
      </c>
      <c r="CV83">
        <v>2</v>
      </c>
      <c r="CW83">
        <v>0</v>
      </c>
      <c r="CX83">
        <v>2</v>
      </c>
      <c r="CY83">
        <v>7</v>
      </c>
      <c r="CZ83" t="s">
        <v>131</v>
      </c>
      <c r="DA83">
        <v>483</v>
      </c>
      <c r="DB83">
        <v>1</v>
      </c>
      <c r="DC83" t="s">
        <v>169</v>
      </c>
      <c r="DD83" t="s">
        <v>170</v>
      </c>
      <c r="DG83">
        <v>7289083</v>
      </c>
      <c r="DI83">
        <v>0</v>
      </c>
      <c r="DJ83">
        <v>0</v>
      </c>
      <c r="DK83">
        <v>1</v>
      </c>
      <c r="DL83">
        <v>0</v>
      </c>
      <c r="DM83">
        <v>0</v>
      </c>
      <c r="DN83">
        <v>0</v>
      </c>
      <c r="DO83">
        <v>0</v>
      </c>
      <c r="DP83">
        <v>1</v>
      </c>
      <c r="DQ83">
        <v>0</v>
      </c>
      <c r="DR83">
        <v>0</v>
      </c>
      <c r="DS83">
        <v>0</v>
      </c>
    </row>
    <row r="84" spans="1:123" x14ac:dyDescent="0.25">
      <c r="A84" t="str">
        <f>"11/29/2023 20:16:11.257"</f>
        <v>11/29/2023 20:16:11.257</v>
      </c>
      <c r="C84" t="str">
        <f t="shared" si="16"/>
        <v>FFDF53C0</v>
      </c>
      <c r="D84" t="s">
        <v>123</v>
      </c>
      <c r="E84">
        <v>14</v>
      </c>
      <c r="F84">
        <v>1014</v>
      </c>
      <c r="G84" t="s">
        <v>124</v>
      </c>
      <c r="J84" t="s">
        <v>125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"20:16:10.859"</f>
        <v>20:16:10.859</v>
      </c>
      <c r="T84" t="str">
        <f>"20:16:10.759"</f>
        <v>20:16:10.759</v>
      </c>
      <c r="U84" t="str">
        <f t="shared" si="13"/>
        <v>AA0632</v>
      </c>
      <c r="V84">
        <v>0</v>
      </c>
      <c r="W84">
        <v>0</v>
      </c>
      <c r="X84">
        <v>2</v>
      </c>
      <c r="Y84">
        <v>0</v>
      </c>
      <c r="AA84">
        <v>0</v>
      </c>
      <c r="AB84">
        <v>8</v>
      </c>
      <c r="AC84">
        <v>3</v>
      </c>
      <c r="AD84">
        <v>0</v>
      </c>
      <c r="AE84">
        <v>9</v>
      </c>
      <c r="AF84" t="s">
        <v>126</v>
      </c>
      <c r="AG84">
        <v>0</v>
      </c>
      <c r="AH84">
        <v>0</v>
      </c>
      <c r="AI84">
        <v>2</v>
      </c>
      <c r="AJ84">
        <v>0</v>
      </c>
      <c r="AK84" t="s">
        <v>191</v>
      </c>
      <c r="AL84">
        <v>31.961095</v>
      </c>
      <c r="AM84" t="s">
        <v>192</v>
      </c>
      <c r="AN84">
        <v>-101.129043</v>
      </c>
      <c r="AQ84" t="s">
        <v>129</v>
      </c>
      <c r="AR84">
        <v>-85</v>
      </c>
      <c r="AS84">
        <v>36</v>
      </c>
      <c r="AT84">
        <v>-64</v>
      </c>
      <c r="BB84" t="str">
        <f t="shared" si="14"/>
        <v>1200</v>
      </c>
      <c r="BC84">
        <v>1</v>
      </c>
      <c r="BD84" t="str">
        <f t="shared" si="17"/>
        <v xml:space="preserve">N745MB  </v>
      </c>
      <c r="BE84">
        <v>1</v>
      </c>
      <c r="BG84">
        <v>0</v>
      </c>
      <c r="BH84">
        <v>0</v>
      </c>
      <c r="BI84">
        <v>0</v>
      </c>
      <c r="BL84" t="s">
        <v>130</v>
      </c>
      <c r="BM84">
        <v>1</v>
      </c>
      <c r="BN84">
        <v>0</v>
      </c>
      <c r="BO84">
        <v>0</v>
      </c>
      <c r="BP84">
        <v>0</v>
      </c>
      <c r="BT84">
        <v>0</v>
      </c>
      <c r="BU84">
        <v>0</v>
      </c>
      <c r="CE84" t="str">
        <f>"20:16:10.862"</f>
        <v>20:16:10.862</v>
      </c>
      <c r="CF84">
        <v>862320878</v>
      </c>
      <c r="CS84">
        <v>0</v>
      </c>
      <c r="CT84">
        <v>1</v>
      </c>
      <c r="CU84">
        <v>0</v>
      </c>
      <c r="CV84">
        <v>2</v>
      </c>
      <c r="CW84">
        <v>0</v>
      </c>
      <c r="CX84">
        <v>3</v>
      </c>
      <c r="CY84">
        <v>7</v>
      </c>
      <c r="CZ84" t="s">
        <v>131</v>
      </c>
      <c r="DA84">
        <v>116</v>
      </c>
      <c r="DB84">
        <v>3</v>
      </c>
      <c r="DC84" t="s">
        <v>132</v>
      </c>
      <c r="DD84" t="s">
        <v>133</v>
      </c>
      <c r="DG84">
        <v>8088833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1</v>
      </c>
      <c r="DQ84">
        <v>0</v>
      </c>
      <c r="DR84">
        <v>0</v>
      </c>
      <c r="DS84">
        <v>0</v>
      </c>
    </row>
    <row r="85" spans="1:123" x14ac:dyDescent="0.25">
      <c r="A85" t="str">
        <f>"11/29/2023 20:16:11.257"</f>
        <v>11/29/2023 20:16:11.257</v>
      </c>
      <c r="C85" t="str">
        <f t="shared" si="16"/>
        <v>FFDF53C0</v>
      </c>
      <c r="D85" t="s">
        <v>135</v>
      </c>
      <c r="E85">
        <v>31</v>
      </c>
      <c r="H85">
        <v>285</v>
      </c>
      <c r="I85" t="s">
        <v>136</v>
      </c>
      <c r="J85" t="s">
        <v>137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"20:16:10.859"</f>
        <v>20:16:10.859</v>
      </c>
      <c r="T85" t="str">
        <f>"20:16:10.759"</f>
        <v>20:16:10.759</v>
      </c>
      <c r="U85" t="str">
        <f t="shared" si="13"/>
        <v>AA0632</v>
      </c>
      <c r="V85">
        <v>0</v>
      </c>
      <c r="W85">
        <v>0</v>
      </c>
      <c r="X85">
        <v>2</v>
      </c>
      <c r="Y85">
        <v>0</v>
      </c>
      <c r="AA85">
        <v>0</v>
      </c>
      <c r="AB85">
        <v>8</v>
      </c>
      <c r="AC85">
        <v>3</v>
      </c>
      <c r="AD85">
        <v>0</v>
      </c>
      <c r="AE85">
        <v>9</v>
      </c>
      <c r="AF85" t="s">
        <v>126</v>
      </c>
      <c r="AG85">
        <v>0</v>
      </c>
      <c r="AH85">
        <v>0</v>
      </c>
      <c r="AI85">
        <v>2</v>
      </c>
      <c r="AJ85">
        <v>0</v>
      </c>
      <c r="AK85" t="s">
        <v>191</v>
      </c>
      <c r="AL85">
        <v>31.961095</v>
      </c>
      <c r="AM85" t="s">
        <v>192</v>
      </c>
      <c r="AN85">
        <v>-101.129043</v>
      </c>
      <c r="AQ85" t="s">
        <v>129</v>
      </c>
      <c r="AR85">
        <v>-85</v>
      </c>
      <c r="AS85">
        <v>36</v>
      </c>
      <c r="AT85">
        <v>-64</v>
      </c>
      <c r="BB85" t="str">
        <f t="shared" si="14"/>
        <v>1200</v>
      </c>
      <c r="BC85">
        <v>1</v>
      </c>
      <c r="BD85" t="str">
        <f t="shared" si="17"/>
        <v xml:space="preserve">N745MB  </v>
      </c>
      <c r="BE85">
        <v>1</v>
      </c>
      <c r="BG85">
        <v>0</v>
      </c>
      <c r="BH85">
        <v>0</v>
      </c>
      <c r="BI85">
        <v>0</v>
      </c>
      <c r="BL85" t="s">
        <v>130</v>
      </c>
      <c r="BM85">
        <v>1</v>
      </c>
      <c r="BN85">
        <v>0</v>
      </c>
      <c r="BO85">
        <v>0</v>
      </c>
      <c r="BP85">
        <v>0</v>
      </c>
      <c r="BT85">
        <v>0</v>
      </c>
      <c r="BU85">
        <v>0</v>
      </c>
      <c r="CE85" t="str">
        <f>"20:16:10.862"</f>
        <v>20:16:10.862</v>
      </c>
      <c r="CF85">
        <v>862320878</v>
      </c>
      <c r="CS85">
        <v>0</v>
      </c>
      <c r="CT85">
        <v>1</v>
      </c>
      <c r="CU85">
        <v>0</v>
      </c>
      <c r="CV85">
        <v>2</v>
      </c>
      <c r="CW85">
        <v>0</v>
      </c>
      <c r="CX85">
        <v>3</v>
      </c>
      <c r="CY85">
        <v>7</v>
      </c>
      <c r="CZ85" t="s">
        <v>131</v>
      </c>
      <c r="DA85">
        <v>116</v>
      </c>
      <c r="DB85">
        <v>3</v>
      </c>
      <c r="DC85" t="s">
        <v>132</v>
      </c>
      <c r="DD85" t="s">
        <v>133</v>
      </c>
      <c r="DG85">
        <v>8088833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0</v>
      </c>
      <c r="DO85">
        <v>0</v>
      </c>
      <c r="DP85">
        <v>1</v>
      </c>
      <c r="DQ85">
        <v>0</v>
      </c>
      <c r="DR85">
        <v>0</v>
      </c>
      <c r="DS85">
        <v>0</v>
      </c>
    </row>
    <row r="86" spans="1:123" x14ac:dyDescent="0.25">
      <c r="A86" t="str">
        <f>"11/29/2023 20:16:11.257"</f>
        <v>11/29/2023 20:16:11.257</v>
      </c>
      <c r="C86" t="str">
        <f t="shared" si="16"/>
        <v>FFDF53C0</v>
      </c>
      <c r="D86" t="s">
        <v>138</v>
      </c>
      <c r="E86">
        <v>3</v>
      </c>
      <c r="H86">
        <v>160</v>
      </c>
      <c r="I86" t="s">
        <v>124</v>
      </c>
      <c r="J86" t="s">
        <v>139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"20:16:10.859"</f>
        <v>20:16:10.859</v>
      </c>
      <c r="T86" t="str">
        <f>"20:16:10.759"</f>
        <v>20:16:10.759</v>
      </c>
      <c r="U86" t="str">
        <f t="shared" si="13"/>
        <v>AA0632</v>
      </c>
      <c r="V86">
        <v>0</v>
      </c>
      <c r="W86">
        <v>0</v>
      </c>
      <c r="X86">
        <v>2</v>
      </c>
      <c r="Y86">
        <v>0</v>
      </c>
      <c r="AA86">
        <v>0</v>
      </c>
      <c r="AB86">
        <v>8</v>
      </c>
      <c r="AC86">
        <v>3</v>
      </c>
      <c r="AD86">
        <v>0</v>
      </c>
      <c r="AE86">
        <v>9</v>
      </c>
      <c r="AF86" t="s">
        <v>126</v>
      </c>
      <c r="AG86">
        <v>0</v>
      </c>
      <c r="AH86">
        <v>0</v>
      </c>
      <c r="AI86">
        <v>2</v>
      </c>
      <c r="AJ86">
        <v>0</v>
      </c>
      <c r="AK86" t="s">
        <v>191</v>
      </c>
      <c r="AL86">
        <v>31.961095</v>
      </c>
      <c r="AM86" t="s">
        <v>192</v>
      </c>
      <c r="AN86">
        <v>-101.129043</v>
      </c>
      <c r="AQ86" t="s">
        <v>129</v>
      </c>
      <c r="AR86">
        <v>-85</v>
      </c>
      <c r="AS86">
        <v>36</v>
      </c>
      <c r="AT86">
        <v>-64</v>
      </c>
      <c r="BB86" t="str">
        <f t="shared" si="14"/>
        <v>1200</v>
      </c>
      <c r="BC86">
        <v>1</v>
      </c>
      <c r="BD86" t="str">
        <f t="shared" si="17"/>
        <v xml:space="preserve">N745MB  </v>
      </c>
      <c r="BE86">
        <v>1</v>
      </c>
      <c r="BG86">
        <v>0</v>
      </c>
      <c r="BH86">
        <v>0</v>
      </c>
      <c r="BI86">
        <v>0</v>
      </c>
      <c r="BL86" t="s">
        <v>130</v>
      </c>
      <c r="BM86">
        <v>1</v>
      </c>
      <c r="BN86">
        <v>0</v>
      </c>
      <c r="BO86">
        <v>0</v>
      </c>
      <c r="BP86">
        <v>0</v>
      </c>
      <c r="BT86">
        <v>0</v>
      </c>
      <c r="BU86">
        <v>0</v>
      </c>
      <c r="CE86" t="str">
        <f>"20:16:10.862"</f>
        <v>20:16:10.862</v>
      </c>
      <c r="CF86">
        <v>862320878</v>
      </c>
      <c r="CS86">
        <v>0</v>
      </c>
      <c r="CT86">
        <v>1</v>
      </c>
      <c r="CU86">
        <v>0</v>
      </c>
      <c r="CV86">
        <v>2</v>
      </c>
      <c r="CW86">
        <v>0</v>
      </c>
      <c r="CX86">
        <v>3</v>
      </c>
      <c r="CY86">
        <v>7</v>
      </c>
      <c r="CZ86" t="s">
        <v>131</v>
      </c>
      <c r="DA86">
        <v>116</v>
      </c>
      <c r="DB86">
        <v>3</v>
      </c>
      <c r="DC86" t="s">
        <v>132</v>
      </c>
      <c r="DD86" t="s">
        <v>133</v>
      </c>
      <c r="DG86">
        <v>8088833</v>
      </c>
      <c r="DI86">
        <v>0</v>
      </c>
      <c r="DJ86">
        <v>0</v>
      </c>
      <c r="DK86">
        <v>1</v>
      </c>
      <c r="DL86">
        <v>0</v>
      </c>
      <c r="DM86">
        <v>0</v>
      </c>
      <c r="DN86">
        <v>0</v>
      </c>
      <c r="DO86">
        <v>0</v>
      </c>
      <c r="DP86">
        <v>1</v>
      </c>
      <c r="DQ86">
        <v>0</v>
      </c>
      <c r="DR86">
        <v>0</v>
      </c>
      <c r="DS86">
        <v>0</v>
      </c>
    </row>
    <row r="87" spans="1:123" x14ac:dyDescent="0.25">
      <c r="A87" t="str">
        <f>"11/29/2023 20:16:11.257"</f>
        <v>11/29/2023 20:16:11.257</v>
      </c>
      <c r="C87" t="str">
        <f t="shared" si="16"/>
        <v>FFDF53C0</v>
      </c>
      <c r="D87" t="s">
        <v>123</v>
      </c>
      <c r="E87">
        <v>1</v>
      </c>
      <c r="F87">
        <v>1001</v>
      </c>
      <c r="G87" t="s">
        <v>134</v>
      </c>
      <c r="J87" t="s">
        <v>125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"20:16:10.859"</f>
        <v>20:16:10.859</v>
      </c>
      <c r="T87" t="str">
        <f>"20:16:10.759"</f>
        <v>20:16:10.759</v>
      </c>
      <c r="U87" t="str">
        <f t="shared" si="13"/>
        <v>AA0632</v>
      </c>
      <c r="V87">
        <v>0</v>
      </c>
      <c r="W87">
        <v>0</v>
      </c>
      <c r="X87">
        <v>2</v>
      </c>
      <c r="Y87">
        <v>0</v>
      </c>
      <c r="AA87">
        <v>0</v>
      </c>
      <c r="AB87">
        <v>8</v>
      </c>
      <c r="AC87">
        <v>3</v>
      </c>
      <c r="AD87">
        <v>0</v>
      </c>
      <c r="AE87">
        <v>9</v>
      </c>
      <c r="AF87" t="s">
        <v>126</v>
      </c>
      <c r="AG87">
        <v>0</v>
      </c>
      <c r="AH87">
        <v>0</v>
      </c>
      <c r="AI87">
        <v>2</v>
      </c>
      <c r="AJ87">
        <v>0</v>
      </c>
      <c r="AK87" t="s">
        <v>191</v>
      </c>
      <c r="AL87">
        <v>31.961095</v>
      </c>
      <c r="AM87" t="s">
        <v>192</v>
      </c>
      <c r="AN87">
        <v>-101.129043</v>
      </c>
      <c r="AQ87" t="s">
        <v>129</v>
      </c>
      <c r="AR87">
        <v>-85</v>
      </c>
      <c r="AS87">
        <v>36</v>
      </c>
      <c r="AT87">
        <v>-64</v>
      </c>
      <c r="BB87" t="str">
        <f t="shared" si="14"/>
        <v>1200</v>
      </c>
      <c r="BC87">
        <v>1</v>
      </c>
      <c r="BD87" t="str">
        <f t="shared" si="17"/>
        <v xml:space="preserve">N745MB  </v>
      </c>
      <c r="BE87">
        <v>1</v>
      </c>
      <c r="BG87">
        <v>0</v>
      </c>
      <c r="BH87">
        <v>0</v>
      </c>
      <c r="BI87">
        <v>0</v>
      </c>
      <c r="BL87" t="s">
        <v>130</v>
      </c>
      <c r="BM87">
        <v>1</v>
      </c>
      <c r="BN87">
        <v>0</v>
      </c>
      <c r="BO87">
        <v>0</v>
      </c>
      <c r="BP87">
        <v>0</v>
      </c>
      <c r="BT87">
        <v>0</v>
      </c>
      <c r="BU87">
        <v>0</v>
      </c>
      <c r="CE87" t="str">
        <f>"20:16:10.862"</f>
        <v>20:16:10.862</v>
      </c>
      <c r="CF87">
        <v>862320878</v>
      </c>
      <c r="CS87">
        <v>0</v>
      </c>
      <c r="CT87">
        <v>1</v>
      </c>
      <c r="CU87">
        <v>0</v>
      </c>
      <c r="CV87">
        <v>2</v>
      </c>
      <c r="CW87">
        <v>0</v>
      </c>
      <c r="CX87">
        <v>3</v>
      </c>
      <c r="CY87">
        <v>7</v>
      </c>
      <c r="CZ87" t="s">
        <v>131</v>
      </c>
      <c r="DA87">
        <v>116</v>
      </c>
      <c r="DB87">
        <v>3</v>
      </c>
      <c r="DC87" t="s">
        <v>132</v>
      </c>
      <c r="DD87" t="s">
        <v>133</v>
      </c>
      <c r="DG87">
        <v>8088833</v>
      </c>
      <c r="DI87">
        <v>0</v>
      </c>
      <c r="DJ87">
        <v>0</v>
      </c>
      <c r="DK87">
        <v>1</v>
      </c>
      <c r="DL87">
        <v>0</v>
      </c>
      <c r="DM87">
        <v>0</v>
      </c>
      <c r="DN87">
        <v>0</v>
      </c>
      <c r="DO87">
        <v>0</v>
      </c>
      <c r="DP87">
        <v>1</v>
      </c>
      <c r="DQ87">
        <v>0</v>
      </c>
      <c r="DR87">
        <v>0</v>
      </c>
      <c r="DS87">
        <v>0</v>
      </c>
    </row>
    <row r="88" spans="1:123" x14ac:dyDescent="0.25">
      <c r="A88" t="str">
        <f>"11/29/2023 20:16:13.007"</f>
        <v>11/29/2023 20:16:13.007</v>
      </c>
      <c r="C88" t="str">
        <f t="shared" si="16"/>
        <v>FFDF53C0</v>
      </c>
      <c r="D88" t="s">
        <v>123</v>
      </c>
      <c r="E88">
        <v>14</v>
      </c>
      <c r="F88">
        <v>1014</v>
      </c>
      <c r="G88" t="s">
        <v>124</v>
      </c>
      <c r="J88" t="s">
        <v>125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"20:16:12.508"</f>
        <v>20:16:12.508</v>
      </c>
      <c r="T88" t="str">
        <f>"20:16:12.308"</f>
        <v>20:16:12.308</v>
      </c>
      <c r="U88" t="str">
        <f t="shared" si="13"/>
        <v>AA0632</v>
      </c>
      <c r="V88">
        <v>0</v>
      </c>
      <c r="W88">
        <v>0</v>
      </c>
      <c r="X88">
        <v>2</v>
      </c>
      <c r="Y88">
        <v>0</v>
      </c>
      <c r="AA88">
        <v>0</v>
      </c>
      <c r="AB88">
        <v>8</v>
      </c>
      <c r="AC88">
        <v>3</v>
      </c>
      <c r="AD88">
        <v>0</v>
      </c>
      <c r="AE88">
        <v>9</v>
      </c>
      <c r="AF88" t="s">
        <v>126</v>
      </c>
      <c r="AG88">
        <v>0</v>
      </c>
      <c r="AH88">
        <v>0</v>
      </c>
      <c r="AI88">
        <v>2</v>
      </c>
      <c r="AJ88">
        <v>0</v>
      </c>
      <c r="AK88" t="s">
        <v>193</v>
      </c>
      <c r="AL88">
        <v>31.961331000000001</v>
      </c>
      <c r="AM88" t="s">
        <v>194</v>
      </c>
      <c r="AN88">
        <v>-101.129858</v>
      </c>
      <c r="AQ88" t="s">
        <v>129</v>
      </c>
      <c r="AR88">
        <v>-87</v>
      </c>
      <c r="AS88">
        <v>30</v>
      </c>
      <c r="AT88">
        <v>-192</v>
      </c>
      <c r="BB88" t="str">
        <f t="shared" si="14"/>
        <v>1200</v>
      </c>
      <c r="BC88">
        <v>1</v>
      </c>
      <c r="BD88" t="str">
        <f t="shared" si="17"/>
        <v xml:space="preserve">N745MB  </v>
      </c>
      <c r="BE88">
        <v>1</v>
      </c>
      <c r="BG88">
        <v>0</v>
      </c>
      <c r="BH88">
        <v>0</v>
      </c>
      <c r="BI88">
        <v>0</v>
      </c>
      <c r="BL88" t="s">
        <v>130</v>
      </c>
      <c r="BM88">
        <v>1</v>
      </c>
      <c r="BN88">
        <v>0</v>
      </c>
      <c r="BO88">
        <v>0</v>
      </c>
      <c r="BP88">
        <v>0</v>
      </c>
      <c r="BT88">
        <v>0</v>
      </c>
      <c r="BU88">
        <v>0</v>
      </c>
      <c r="CE88" t="str">
        <f>"20:16:12.510"</f>
        <v>20:16:12.510</v>
      </c>
      <c r="CF88">
        <v>510200714</v>
      </c>
      <c r="CS88">
        <v>0</v>
      </c>
      <c r="CT88">
        <v>1</v>
      </c>
      <c r="CU88">
        <v>0</v>
      </c>
      <c r="CV88">
        <v>2</v>
      </c>
      <c r="CW88">
        <v>0</v>
      </c>
      <c r="CX88">
        <v>5</v>
      </c>
      <c r="CY88">
        <v>7</v>
      </c>
      <c r="CZ88" t="s">
        <v>131</v>
      </c>
      <c r="DA88">
        <v>116</v>
      </c>
      <c r="DB88">
        <v>3</v>
      </c>
      <c r="DC88" t="s">
        <v>132</v>
      </c>
      <c r="DD88" t="s">
        <v>133</v>
      </c>
      <c r="DG88">
        <v>8089796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1</v>
      </c>
      <c r="DQ88">
        <v>0</v>
      </c>
      <c r="DR88">
        <v>0</v>
      </c>
      <c r="DS88">
        <v>0</v>
      </c>
    </row>
    <row r="89" spans="1:123" x14ac:dyDescent="0.25">
      <c r="A89" t="str">
        <f>"11/29/2023 20:16:13.007"</f>
        <v>11/29/2023 20:16:13.007</v>
      </c>
      <c r="C89" t="str">
        <f t="shared" si="16"/>
        <v>FFDF53C0</v>
      </c>
      <c r="D89" t="s">
        <v>135</v>
      </c>
      <c r="E89">
        <v>31</v>
      </c>
      <c r="H89">
        <v>285</v>
      </c>
      <c r="I89" t="s">
        <v>136</v>
      </c>
      <c r="J89" t="s">
        <v>137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"20:16:12.508"</f>
        <v>20:16:12.508</v>
      </c>
      <c r="T89" t="str">
        <f>"20:16:12.308"</f>
        <v>20:16:12.308</v>
      </c>
      <c r="U89" t="str">
        <f t="shared" si="13"/>
        <v>AA0632</v>
      </c>
      <c r="V89">
        <v>0</v>
      </c>
      <c r="W89">
        <v>0</v>
      </c>
      <c r="X89">
        <v>2</v>
      </c>
      <c r="Y89">
        <v>0</v>
      </c>
      <c r="AA89">
        <v>0</v>
      </c>
      <c r="AB89">
        <v>8</v>
      </c>
      <c r="AC89">
        <v>3</v>
      </c>
      <c r="AD89">
        <v>0</v>
      </c>
      <c r="AE89">
        <v>9</v>
      </c>
      <c r="AF89" t="s">
        <v>126</v>
      </c>
      <c r="AG89">
        <v>0</v>
      </c>
      <c r="AH89">
        <v>0</v>
      </c>
      <c r="AI89">
        <v>2</v>
      </c>
      <c r="AJ89">
        <v>0</v>
      </c>
      <c r="AK89" t="s">
        <v>193</v>
      </c>
      <c r="AL89">
        <v>31.961331000000001</v>
      </c>
      <c r="AM89" t="s">
        <v>194</v>
      </c>
      <c r="AN89">
        <v>-101.129858</v>
      </c>
      <c r="AQ89" t="s">
        <v>129</v>
      </c>
      <c r="AR89">
        <v>-87</v>
      </c>
      <c r="AS89">
        <v>30</v>
      </c>
      <c r="AT89">
        <v>-192</v>
      </c>
      <c r="BB89" t="str">
        <f t="shared" si="14"/>
        <v>1200</v>
      </c>
      <c r="BC89">
        <v>1</v>
      </c>
      <c r="BD89" t="str">
        <f t="shared" si="17"/>
        <v xml:space="preserve">N745MB  </v>
      </c>
      <c r="BE89">
        <v>1</v>
      </c>
      <c r="BG89">
        <v>0</v>
      </c>
      <c r="BH89">
        <v>0</v>
      </c>
      <c r="BI89">
        <v>0</v>
      </c>
      <c r="BL89" t="s">
        <v>130</v>
      </c>
      <c r="BM89">
        <v>1</v>
      </c>
      <c r="BN89">
        <v>0</v>
      </c>
      <c r="BO89">
        <v>0</v>
      </c>
      <c r="BP89">
        <v>0</v>
      </c>
      <c r="BT89">
        <v>0</v>
      </c>
      <c r="BU89">
        <v>0</v>
      </c>
      <c r="CE89" t="str">
        <f>"20:16:12.510"</f>
        <v>20:16:12.510</v>
      </c>
      <c r="CF89">
        <v>510200714</v>
      </c>
      <c r="CS89">
        <v>0</v>
      </c>
      <c r="CT89">
        <v>1</v>
      </c>
      <c r="CU89">
        <v>0</v>
      </c>
      <c r="CV89">
        <v>2</v>
      </c>
      <c r="CW89">
        <v>0</v>
      </c>
      <c r="CX89">
        <v>5</v>
      </c>
      <c r="CY89">
        <v>7</v>
      </c>
      <c r="CZ89" t="s">
        <v>131</v>
      </c>
      <c r="DA89">
        <v>116</v>
      </c>
      <c r="DB89">
        <v>3</v>
      </c>
      <c r="DC89" t="s">
        <v>132</v>
      </c>
      <c r="DD89" t="s">
        <v>133</v>
      </c>
      <c r="DG89">
        <v>8089796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1</v>
      </c>
      <c r="DQ89">
        <v>0</v>
      </c>
      <c r="DR89">
        <v>0</v>
      </c>
      <c r="DS89">
        <v>0</v>
      </c>
    </row>
    <row r="90" spans="1:123" x14ac:dyDescent="0.25">
      <c r="A90" t="str">
        <f>"11/29/2023 20:16:13.007"</f>
        <v>11/29/2023 20:16:13.007</v>
      </c>
      <c r="C90" t="str">
        <f t="shared" si="16"/>
        <v>FFDF53C0</v>
      </c>
      <c r="D90" t="s">
        <v>138</v>
      </c>
      <c r="E90">
        <v>3</v>
      </c>
      <c r="H90">
        <v>160</v>
      </c>
      <c r="I90" t="s">
        <v>124</v>
      </c>
      <c r="J90" t="s">
        <v>139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"20:16:12.508"</f>
        <v>20:16:12.508</v>
      </c>
      <c r="T90" t="str">
        <f>"20:16:12.308"</f>
        <v>20:16:12.308</v>
      </c>
      <c r="U90" t="str">
        <f t="shared" si="13"/>
        <v>AA0632</v>
      </c>
      <c r="V90">
        <v>0</v>
      </c>
      <c r="W90">
        <v>0</v>
      </c>
      <c r="X90">
        <v>2</v>
      </c>
      <c r="Y90">
        <v>0</v>
      </c>
      <c r="AA90">
        <v>0</v>
      </c>
      <c r="AB90">
        <v>8</v>
      </c>
      <c r="AC90">
        <v>3</v>
      </c>
      <c r="AD90">
        <v>0</v>
      </c>
      <c r="AE90">
        <v>9</v>
      </c>
      <c r="AF90" t="s">
        <v>126</v>
      </c>
      <c r="AG90">
        <v>0</v>
      </c>
      <c r="AH90">
        <v>0</v>
      </c>
      <c r="AI90">
        <v>2</v>
      </c>
      <c r="AJ90">
        <v>0</v>
      </c>
      <c r="AK90" t="s">
        <v>193</v>
      </c>
      <c r="AL90">
        <v>31.961331000000001</v>
      </c>
      <c r="AM90" t="s">
        <v>194</v>
      </c>
      <c r="AN90">
        <v>-101.129858</v>
      </c>
      <c r="AQ90" t="s">
        <v>129</v>
      </c>
      <c r="AR90">
        <v>-87</v>
      </c>
      <c r="AS90">
        <v>30</v>
      </c>
      <c r="AT90">
        <v>-192</v>
      </c>
      <c r="BB90" t="str">
        <f t="shared" si="14"/>
        <v>1200</v>
      </c>
      <c r="BC90">
        <v>1</v>
      </c>
      <c r="BD90" t="str">
        <f t="shared" si="17"/>
        <v xml:space="preserve">N745MB  </v>
      </c>
      <c r="BE90">
        <v>1</v>
      </c>
      <c r="BG90">
        <v>0</v>
      </c>
      <c r="BH90">
        <v>0</v>
      </c>
      <c r="BI90">
        <v>0</v>
      </c>
      <c r="BL90" t="s">
        <v>130</v>
      </c>
      <c r="BM90">
        <v>1</v>
      </c>
      <c r="BN90">
        <v>0</v>
      </c>
      <c r="BO90">
        <v>0</v>
      </c>
      <c r="BP90">
        <v>0</v>
      </c>
      <c r="BT90">
        <v>0</v>
      </c>
      <c r="BU90">
        <v>0</v>
      </c>
      <c r="CE90" t="str">
        <f>"20:16:12.510"</f>
        <v>20:16:12.510</v>
      </c>
      <c r="CF90">
        <v>510200714</v>
      </c>
      <c r="CS90">
        <v>0</v>
      </c>
      <c r="CT90">
        <v>1</v>
      </c>
      <c r="CU90">
        <v>0</v>
      </c>
      <c r="CV90">
        <v>2</v>
      </c>
      <c r="CW90">
        <v>0</v>
      </c>
      <c r="CX90">
        <v>5</v>
      </c>
      <c r="CY90">
        <v>7</v>
      </c>
      <c r="CZ90" t="s">
        <v>131</v>
      </c>
      <c r="DA90">
        <v>116</v>
      </c>
      <c r="DB90">
        <v>3</v>
      </c>
      <c r="DC90" t="s">
        <v>132</v>
      </c>
      <c r="DD90" t="s">
        <v>133</v>
      </c>
      <c r="DG90">
        <v>8089796</v>
      </c>
      <c r="DI90">
        <v>0</v>
      </c>
      <c r="DJ90">
        <v>0</v>
      </c>
      <c r="DK90">
        <v>1</v>
      </c>
      <c r="DL90">
        <v>0</v>
      </c>
      <c r="DM90">
        <v>0</v>
      </c>
      <c r="DN90">
        <v>0</v>
      </c>
      <c r="DO90">
        <v>0</v>
      </c>
      <c r="DP90">
        <v>1</v>
      </c>
      <c r="DQ90">
        <v>0</v>
      </c>
      <c r="DR90">
        <v>0</v>
      </c>
      <c r="DS90">
        <v>0</v>
      </c>
    </row>
    <row r="91" spans="1:123" x14ac:dyDescent="0.25">
      <c r="A91" t="str">
        <f>"11/29/2023 20:16:13.007"</f>
        <v>11/29/2023 20:16:13.007</v>
      </c>
      <c r="C91" t="str">
        <f t="shared" si="16"/>
        <v>FFDF53C0</v>
      </c>
      <c r="D91" t="s">
        <v>123</v>
      </c>
      <c r="E91">
        <v>1</v>
      </c>
      <c r="F91">
        <v>1001</v>
      </c>
      <c r="G91" t="s">
        <v>134</v>
      </c>
      <c r="J91" t="s">
        <v>125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"20:16:12.508"</f>
        <v>20:16:12.508</v>
      </c>
      <c r="T91" t="str">
        <f>"20:16:12.308"</f>
        <v>20:16:12.308</v>
      </c>
      <c r="U91" t="str">
        <f t="shared" si="13"/>
        <v>AA0632</v>
      </c>
      <c r="V91">
        <v>0</v>
      </c>
      <c r="W91">
        <v>0</v>
      </c>
      <c r="X91">
        <v>2</v>
      </c>
      <c r="Y91">
        <v>0</v>
      </c>
      <c r="AA91">
        <v>0</v>
      </c>
      <c r="AB91">
        <v>8</v>
      </c>
      <c r="AC91">
        <v>3</v>
      </c>
      <c r="AD91">
        <v>0</v>
      </c>
      <c r="AE91">
        <v>9</v>
      </c>
      <c r="AF91" t="s">
        <v>126</v>
      </c>
      <c r="AG91">
        <v>0</v>
      </c>
      <c r="AH91">
        <v>0</v>
      </c>
      <c r="AI91">
        <v>2</v>
      </c>
      <c r="AJ91">
        <v>0</v>
      </c>
      <c r="AK91" t="s">
        <v>193</v>
      </c>
      <c r="AL91">
        <v>31.961331000000001</v>
      </c>
      <c r="AM91" t="s">
        <v>194</v>
      </c>
      <c r="AN91">
        <v>-101.129858</v>
      </c>
      <c r="AQ91" t="s">
        <v>129</v>
      </c>
      <c r="AR91">
        <v>-87</v>
      </c>
      <c r="AS91">
        <v>30</v>
      </c>
      <c r="AT91">
        <v>-192</v>
      </c>
      <c r="BB91" t="str">
        <f t="shared" si="14"/>
        <v>1200</v>
      </c>
      <c r="BC91">
        <v>1</v>
      </c>
      <c r="BD91" t="str">
        <f t="shared" si="17"/>
        <v xml:space="preserve">N745MB  </v>
      </c>
      <c r="BE91">
        <v>1</v>
      </c>
      <c r="BG91">
        <v>0</v>
      </c>
      <c r="BH91">
        <v>0</v>
      </c>
      <c r="BI91">
        <v>0</v>
      </c>
      <c r="BL91" t="s">
        <v>130</v>
      </c>
      <c r="BM91">
        <v>1</v>
      </c>
      <c r="BN91">
        <v>0</v>
      </c>
      <c r="BO91">
        <v>0</v>
      </c>
      <c r="BP91">
        <v>0</v>
      </c>
      <c r="BT91">
        <v>0</v>
      </c>
      <c r="BU91">
        <v>0</v>
      </c>
      <c r="CE91" t="str">
        <f>"20:16:12.510"</f>
        <v>20:16:12.510</v>
      </c>
      <c r="CF91">
        <v>510200714</v>
      </c>
      <c r="CS91">
        <v>0</v>
      </c>
      <c r="CT91">
        <v>1</v>
      </c>
      <c r="CU91">
        <v>0</v>
      </c>
      <c r="CV91">
        <v>2</v>
      </c>
      <c r="CW91">
        <v>0</v>
      </c>
      <c r="CX91">
        <v>5</v>
      </c>
      <c r="CY91">
        <v>7</v>
      </c>
      <c r="CZ91" t="s">
        <v>131</v>
      </c>
      <c r="DA91">
        <v>116</v>
      </c>
      <c r="DB91">
        <v>3</v>
      </c>
      <c r="DC91" t="s">
        <v>132</v>
      </c>
      <c r="DD91" t="s">
        <v>133</v>
      </c>
      <c r="DG91">
        <v>8089796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0</v>
      </c>
      <c r="DO91">
        <v>0</v>
      </c>
      <c r="DP91">
        <v>1</v>
      </c>
      <c r="DQ91">
        <v>0</v>
      </c>
      <c r="DR91">
        <v>0</v>
      </c>
      <c r="DS91">
        <v>0</v>
      </c>
    </row>
    <row r="92" spans="1:123" x14ac:dyDescent="0.25">
      <c r="A92" t="str">
        <f>"11/29/2023 20:16:14.023"</f>
        <v>11/29/2023 20:16:14.023</v>
      </c>
      <c r="C92" t="str">
        <f t="shared" si="16"/>
        <v>FFDF53C0</v>
      </c>
      <c r="D92" t="s">
        <v>123</v>
      </c>
      <c r="E92">
        <v>14</v>
      </c>
      <c r="F92">
        <v>1014</v>
      </c>
      <c r="G92" t="s">
        <v>124</v>
      </c>
      <c r="J92" t="s">
        <v>125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"20:16:13.516"</f>
        <v>20:16:13.516</v>
      </c>
      <c r="T92" t="str">
        <f>"20:16:13.416"</f>
        <v>20:16:13.416</v>
      </c>
      <c r="U92" t="str">
        <f t="shared" si="13"/>
        <v>AA0632</v>
      </c>
      <c r="V92">
        <v>0</v>
      </c>
      <c r="W92">
        <v>0</v>
      </c>
      <c r="X92">
        <v>2</v>
      </c>
      <c r="Y92">
        <v>0</v>
      </c>
      <c r="AA92">
        <v>0</v>
      </c>
      <c r="AB92">
        <v>8</v>
      </c>
      <c r="AC92">
        <v>3</v>
      </c>
      <c r="AD92">
        <v>0</v>
      </c>
      <c r="AE92">
        <v>9</v>
      </c>
      <c r="AF92" t="s">
        <v>126</v>
      </c>
      <c r="AG92">
        <v>0</v>
      </c>
      <c r="AH92">
        <v>0</v>
      </c>
      <c r="AI92">
        <v>2</v>
      </c>
      <c r="AJ92">
        <v>0</v>
      </c>
      <c r="AK92" t="s">
        <v>195</v>
      </c>
      <c r="AL92">
        <v>31.961482</v>
      </c>
      <c r="AM92" t="s">
        <v>196</v>
      </c>
      <c r="AN92">
        <v>-101.130309</v>
      </c>
      <c r="AQ92" t="s">
        <v>129</v>
      </c>
      <c r="AR92">
        <v>-88</v>
      </c>
      <c r="AS92">
        <v>27</v>
      </c>
      <c r="AT92">
        <v>-128</v>
      </c>
      <c r="BB92" t="str">
        <f t="shared" si="14"/>
        <v>1200</v>
      </c>
      <c r="BC92">
        <v>1</v>
      </c>
      <c r="BD92" t="str">
        <f t="shared" si="17"/>
        <v xml:space="preserve">N745MB  </v>
      </c>
      <c r="BE92">
        <v>1</v>
      </c>
      <c r="BG92">
        <v>0</v>
      </c>
      <c r="BH92">
        <v>0</v>
      </c>
      <c r="BI92">
        <v>0</v>
      </c>
      <c r="BL92" t="s">
        <v>130</v>
      </c>
      <c r="BM92">
        <v>1</v>
      </c>
      <c r="BN92">
        <v>0</v>
      </c>
      <c r="BO92">
        <v>0</v>
      </c>
      <c r="BP92">
        <v>0</v>
      </c>
      <c r="BT92">
        <v>0</v>
      </c>
      <c r="BU92">
        <v>0</v>
      </c>
      <c r="CE92" t="str">
        <f>"20:16:13.520"</f>
        <v>20:16:13.520</v>
      </c>
      <c r="CF92">
        <v>520144935</v>
      </c>
      <c r="CS92">
        <v>0</v>
      </c>
      <c r="CT92">
        <v>1</v>
      </c>
      <c r="CU92">
        <v>0</v>
      </c>
      <c r="CV92">
        <v>2</v>
      </c>
      <c r="CW92">
        <v>0</v>
      </c>
      <c r="CX92">
        <v>1</v>
      </c>
      <c r="CY92">
        <v>7</v>
      </c>
      <c r="CZ92" t="s">
        <v>131</v>
      </c>
      <c r="DA92">
        <v>483</v>
      </c>
      <c r="DB92">
        <v>1</v>
      </c>
      <c r="DC92" t="s">
        <v>169</v>
      </c>
      <c r="DD92" t="s">
        <v>170</v>
      </c>
      <c r="DG92">
        <v>7289857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1</v>
      </c>
      <c r="DQ92">
        <v>0</v>
      </c>
      <c r="DR92">
        <v>0</v>
      </c>
      <c r="DS92">
        <v>0</v>
      </c>
    </row>
    <row r="93" spans="1:123" x14ac:dyDescent="0.25">
      <c r="A93" t="str">
        <f>"11/29/2023 20:16:14.023"</f>
        <v>11/29/2023 20:16:14.023</v>
      </c>
      <c r="C93" t="str">
        <f t="shared" si="16"/>
        <v>FFDF53C0</v>
      </c>
      <c r="D93" t="s">
        <v>138</v>
      </c>
      <c r="E93">
        <v>3</v>
      </c>
      <c r="H93">
        <v>160</v>
      </c>
      <c r="I93" t="s">
        <v>124</v>
      </c>
      <c r="J93" t="s">
        <v>139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"20:16:13.516"</f>
        <v>20:16:13.516</v>
      </c>
      <c r="T93" t="str">
        <f>"20:16:13.416"</f>
        <v>20:16:13.416</v>
      </c>
      <c r="U93" t="str">
        <f t="shared" si="13"/>
        <v>AA0632</v>
      </c>
      <c r="V93">
        <v>0</v>
      </c>
      <c r="W93">
        <v>0</v>
      </c>
      <c r="X93">
        <v>2</v>
      </c>
      <c r="Y93">
        <v>0</v>
      </c>
      <c r="AA93">
        <v>0</v>
      </c>
      <c r="AB93">
        <v>8</v>
      </c>
      <c r="AC93">
        <v>3</v>
      </c>
      <c r="AD93">
        <v>0</v>
      </c>
      <c r="AE93">
        <v>9</v>
      </c>
      <c r="AF93" t="s">
        <v>126</v>
      </c>
      <c r="AG93">
        <v>0</v>
      </c>
      <c r="AH93">
        <v>0</v>
      </c>
      <c r="AI93">
        <v>2</v>
      </c>
      <c r="AJ93">
        <v>0</v>
      </c>
      <c r="AK93" t="s">
        <v>195</v>
      </c>
      <c r="AL93">
        <v>31.961482</v>
      </c>
      <c r="AM93" t="s">
        <v>196</v>
      </c>
      <c r="AN93">
        <v>-101.130309</v>
      </c>
      <c r="AQ93" t="s">
        <v>129</v>
      </c>
      <c r="AR93">
        <v>-88</v>
      </c>
      <c r="AS93">
        <v>27</v>
      </c>
      <c r="AT93">
        <v>-128</v>
      </c>
      <c r="BB93" t="str">
        <f t="shared" si="14"/>
        <v>1200</v>
      </c>
      <c r="BC93">
        <v>1</v>
      </c>
      <c r="BD93" t="str">
        <f t="shared" si="17"/>
        <v xml:space="preserve">N745MB  </v>
      </c>
      <c r="BE93">
        <v>1</v>
      </c>
      <c r="BG93">
        <v>0</v>
      </c>
      <c r="BH93">
        <v>0</v>
      </c>
      <c r="BI93">
        <v>0</v>
      </c>
      <c r="BL93" t="s">
        <v>130</v>
      </c>
      <c r="BM93">
        <v>1</v>
      </c>
      <c r="BN93">
        <v>0</v>
      </c>
      <c r="BO93">
        <v>0</v>
      </c>
      <c r="BP93">
        <v>0</v>
      </c>
      <c r="BT93">
        <v>0</v>
      </c>
      <c r="BU93">
        <v>0</v>
      </c>
      <c r="CE93" t="str">
        <f>"20:16:13.520"</f>
        <v>20:16:13.520</v>
      </c>
      <c r="CF93">
        <v>520144935</v>
      </c>
      <c r="CS93">
        <v>0</v>
      </c>
      <c r="CT93">
        <v>1</v>
      </c>
      <c r="CU93">
        <v>0</v>
      </c>
      <c r="CV93">
        <v>2</v>
      </c>
      <c r="CW93">
        <v>0</v>
      </c>
      <c r="CX93">
        <v>1</v>
      </c>
      <c r="CY93">
        <v>7</v>
      </c>
      <c r="CZ93" t="s">
        <v>131</v>
      </c>
      <c r="DA93">
        <v>483</v>
      </c>
      <c r="DB93">
        <v>1</v>
      </c>
      <c r="DC93" t="s">
        <v>169</v>
      </c>
      <c r="DD93" t="s">
        <v>170</v>
      </c>
      <c r="DG93">
        <v>7289857</v>
      </c>
      <c r="DI93">
        <v>0</v>
      </c>
      <c r="DJ93">
        <v>0</v>
      </c>
      <c r="DK93">
        <v>1</v>
      </c>
      <c r="DL93">
        <v>0</v>
      </c>
      <c r="DM93">
        <v>0</v>
      </c>
      <c r="DN93">
        <v>0</v>
      </c>
      <c r="DO93">
        <v>0</v>
      </c>
      <c r="DP93">
        <v>1</v>
      </c>
      <c r="DQ93">
        <v>0</v>
      </c>
      <c r="DR93">
        <v>0</v>
      </c>
      <c r="DS93">
        <v>0</v>
      </c>
    </row>
    <row r="94" spans="1:123" x14ac:dyDescent="0.25">
      <c r="A94" t="str">
        <f>"11/29/2023 20:16:15.054"</f>
        <v>11/29/2023 20:16:15.054</v>
      </c>
      <c r="C94" t="str">
        <f t="shared" si="16"/>
        <v>FFDF53C0</v>
      </c>
      <c r="D94" t="s">
        <v>123</v>
      </c>
      <c r="E94">
        <v>14</v>
      </c>
      <c r="F94">
        <v>1014</v>
      </c>
      <c r="G94" t="s">
        <v>124</v>
      </c>
      <c r="J94" t="s">
        <v>125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"20:16:14.563"</f>
        <v>20:16:14.563</v>
      </c>
      <c r="T94" t="str">
        <f>"20:16:13.363"</f>
        <v>20:16:13.363</v>
      </c>
      <c r="U94" t="str">
        <f t="shared" si="13"/>
        <v>AA0632</v>
      </c>
      <c r="V94">
        <v>0</v>
      </c>
      <c r="W94">
        <v>0</v>
      </c>
      <c r="X94">
        <v>2</v>
      </c>
      <c r="Y94">
        <v>0</v>
      </c>
      <c r="AA94">
        <v>0</v>
      </c>
      <c r="AB94">
        <v>8</v>
      </c>
      <c r="AC94">
        <v>3</v>
      </c>
      <c r="AD94">
        <v>0</v>
      </c>
      <c r="AE94">
        <v>9</v>
      </c>
      <c r="AF94" t="s">
        <v>126</v>
      </c>
      <c r="AG94">
        <v>0</v>
      </c>
      <c r="AH94">
        <v>0</v>
      </c>
      <c r="AI94">
        <v>2</v>
      </c>
      <c r="AJ94">
        <v>0</v>
      </c>
      <c r="AK94" t="s">
        <v>197</v>
      </c>
      <c r="AL94">
        <v>31.96161</v>
      </c>
      <c r="AM94" t="s">
        <v>198</v>
      </c>
      <c r="AN94">
        <v>-101.130781</v>
      </c>
      <c r="AQ94" t="s">
        <v>129</v>
      </c>
      <c r="AR94">
        <v>-88</v>
      </c>
      <c r="AS94">
        <v>27</v>
      </c>
      <c r="AT94">
        <v>-128</v>
      </c>
      <c r="BB94" t="str">
        <f t="shared" si="14"/>
        <v>1200</v>
      </c>
      <c r="BC94">
        <v>1</v>
      </c>
      <c r="BD94" t="str">
        <f t="shared" si="17"/>
        <v xml:space="preserve">N745MB  </v>
      </c>
      <c r="BE94">
        <v>1</v>
      </c>
      <c r="BG94">
        <v>0</v>
      </c>
      <c r="BH94">
        <v>0</v>
      </c>
      <c r="BI94">
        <v>0</v>
      </c>
      <c r="BL94" t="s">
        <v>130</v>
      </c>
      <c r="BM94">
        <v>1</v>
      </c>
      <c r="BN94">
        <v>0</v>
      </c>
      <c r="BO94">
        <v>0</v>
      </c>
      <c r="BP94">
        <v>0</v>
      </c>
      <c r="BT94">
        <v>0</v>
      </c>
      <c r="BU94">
        <v>0</v>
      </c>
      <c r="CE94" t="str">
        <f>"20:16:14.564"</f>
        <v>20:16:14.564</v>
      </c>
      <c r="CF94">
        <v>564074372</v>
      </c>
      <c r="CS94">
        <v>0</v>
      </c>
      <c r="CT94">
        <v>1</v>
      </c>
      <c r="CU94">
        <v>0</v>
      </c>
      <c r="CV94">
        <v>2</v>
      </c>
      <c r="CW94">
        <v>0</v>
      </c>
      <c r="CX94">
        <v>1</v>
      </c>
      <c r="CY94">
        <v>7</v>
      </c>
      <c r="CZ94" t="s">
        <v>131</v>
      </c>
      <c r="DA94">
        <v>483</v>
      </c>
      <c r="DB94">
        <v>1</v>
      </c>
      <c r="DC94" t="s">
        <v>169</v>
      </c>
      <c r="DD94" t="s">
        <v>170</v>
      </c>
      <c r="DG94">
        <v>7290028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1</v>
      </c>
      <c r="DQ94">
        <v>0</v>
      </c>
      <c r="DR94">
        <v>0</v>
      </c>
      <c r="DS94">
        <v>0</v>
      </c>
    </row>
    <row r="95" spans="1:123" x14ac:dyDescent="0.25">
      <c r="A95" t="str">
        <f>"11/29/2023 20:16:17.788"</f>
        <v>11/29/2023 20:16:17.788</v>
      </c>
      <c r="C95" t="str">
        <f t="shared" si="16"/>
        <v>FFDF53C0</v>
      </c>
      <c r="D95" t="s">
        <v>138</v>
      </c>
      <c r="E95">
        <v>3</v>
      </c>
      <c r="H95">
        <v>160</v>
      </c>
      <c r="I95" t="s">
        <v>124</v>
      </c>
      <c r="J95" t="s">
        <v>139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"20:16:17.453"</f>
        <v>20:16:17.453</v>
      </c>
      <c r="T95" t="str">
        <f>"20:16:17.253"</f>
        <v>20:16:17.253</v>
      </c>
      <c r="U95" t="str">
        <f t="shared" si="13"/>
        <v>AA0632</v>
      </c>
      <c r="V95">
        <v>0</v>
      </c>
      <c r="W95">
        <v>0</v>
      </c>
      <c r="X95">
        <v>2</v>
      </c>
      <c r="Y95">
        <v>0</v>
      </c>
      <c r="AA95">
        <v>0</v>
      </c>
      <c r="AB95">
        <v>8</v>
      </c>
      <c r="AC95">
        <v>3</v>
      </c>
      <c r="AD95">
        <v>0</v>
      </c>
      <c r="AE95">
        <v>9</v>
      </c>
      <c r="AF95" t="s">
        <v>126</v>
      </c>
      <c r="AG95">
        <v>0</v>
      </c>
      <c r="AH95">
        <v>0</v>
      </c>
      <c r="AI95">
        <v>2</v>
      </c>
      <c r="AJ95">
        <v>0</v>
      </c>
      <c r="AK95" t="s">
        <v>199</v>
      </c>
      <c r="AL95">
        <v>31.961781999999999</v>
      </c>
      <c r="AM95" t="s">
        <v>200</v>
      </c>
      <c r="AN95">
        <v>-101.13221900000001</v>
      </c>
      <c r="AQ95" t="s">
        <v>129</v>
      </c>
      <c r="AR95">
        <v>-90</v>
      </c>
      <c r="AS95">
        <v>14</v>
      </c>
      <c r="AT95">
        <v>0</v>
      </c>
      <c r="BB95" t="str">
        <f t="shared" si="14"/>
        <v>1200</v>
      </c>
      <c r="BC95">
        <v>1</v>
      </c>
      <c r="BD95" t="str">
        <f t="shared" si="17"/>
        <v xml:space="preserve">N745MB  </v>
      </c>
      <c r="BE95">
        <v>1</v>
      </c>
      <c r="BG95">
        <v>0</v>
      </c>
      <c r="BH95">
        <v>0</v>
      </c>
      <c r="BI95">
        <v>0</v>
      </c>
      <c r="BL95" t="s">
        <v>130</v>
      </c>
      <c r="BM95">
        <v>1</v>
      </c>
      <c r="BN95">
        <v>0</v>
      </c>
      <c r="BO95">
        <v>0</v>
      </c>
      <c r="BP95">
        <v>0</v>
      </c>
      <c r="BT95">
        <v>0</v>
      </c>
      <c r="BU95">
        <v>0</v>
      </c>
      <c r="CE95" t="str">
        <f>"20:16:17.458"</f>
        <v>20:16:17.458</v>
      </c>
      <c r="CF95">
        <v>457861350</v>
      </c>
      <c r="CS95">
        <v>0</v>
      </c>
      <c r="CT95">
        <v>1</v>
      </c>
      <c r="CU95">
        <v>0</v>
      </c>
      <c r="CV95">
        <v>2</v>
      </c>
      <c r="CW95">
        <v>0</v>
      </c>
      <c r="CX95">
        <v>2</v>
      </c>
      <c r="CY95">
        <v>7</v>
      </c>
      <c r="CZ95" t="s">
        <v>131</v>
      </c>
      <c r="DA95">
        <v>116</v>
      </c>
      <c r="DB95">
        <v>3</v>
      </c>
      <c r="DC95" t="s">
        <v>132</v>
      </c>
      <c r="DD95" t="s">
        <v>133</v>
      </c>
      <c r="DG95">
        <v>8092745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1</v>
      </c>
      <c r="DQ95">
        <v>0</v>
      </c>
      <c r="DR95">
        <v>0</v>
      </c>
      <c r="DS95">
        <v>0</v>
      </c>
    </row>
    <row r="96" spans="1:123" x14ac:dyDescent="0.25">
      <c r="A96" t="str">
        <f>"11/29/2023 20:16:17.788"</f>
        <v>11/29/2023 20:16:17.788</v>
      </c>
      <c r="C96" t="str">
        <f t="shared" si="16"/>
        <v>FFDF53C0</v>
      </c>
      <c r="D96" t="s">
        <v>123</v>
      </c>
      <c r="E96">
        <v>1</v>
      </c>
      <c r="F96">
        <v>1001</v>
      </c>
      <c r="G96" t="s">
        <v>134</v>
      </c>
      <c r="J96" t="s">
        <v>125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"20:16:17.453"</f>
        <v>20:16:17.453</v>
      </c>
      <c r="T96" t="str">
        <f>"20:16:17.253"</f>
        <v>20:16:17.253</v>
      </c>
      <c r="U96" t="str">
        <f t="shared" si="13"/>
        <v>AA0632</v>
      </c>
      <c r="V96">
        <v>0</v>
      </c>
      <c r="W96">
        <v>0</v>
      </c>
      <c r="X96">
        <v>2</v>
      </c>
      <c r="Y96">
        <v>0</v>
      </c>
      <c r="AA96">
        <v>0</v>
      </c>
      <c r="AB96">
        <v>8</v>
      </c>
      <c r="AC96">
        <v>3</v>
      </c>
      <c r="AD96">
        <v>0</v>
      </c>
      <c r="AE96">
        <v>9</v>
      </c>
      <c r="AF96" t="s">
        <v>126</v>
      </c>
      <c r="AG96">
        <v>0</v>
      </c>
      <c r="AH96">
        <v>0</v>
      </c>
      <c r="AI96">
        <v>2</v>
      </c>
      <c r="AJ96">
        <v>0</v>
      </c>
      <c r="AK96" t="s">
        <v>199</v>
      </c>
      <c r="AL96">
        <v>31.961781999999999</v>
      </c>
      <c r="AM96" t="s">
        <v>200</v>
      </c>
      <c r="AN96">
        <v>-101.13221900000001</v>
      </c>
      <c r="AQ96" t="s">
        <v>129</v>
      </c>
      <c r="AR96">
        <v>-90</v>
      </c>
      <c r="AS96">
        <v>14</v>
      </c>
      <c r="AT96">
        <v>0</v>
      </c>
      <c r="BB96" t="str">
        <f t="shared" si="14"/>
        <v>1200</v>
      </c>
      <c r="BC96">
        <v>1</v>
      </c>
      <c r="BD96" t="str">
        <f t="shared" si="17"/>
        <v xml:space="preserve">N745MB  </v>
      </c>
      <c r="BE96">
        <v>1</v>
      </c>
      <c r="BG96">
        <v>0</v>
      </c>
      <c r="BH96">
        <v>0</v>
      </c>
      <c r="BI96">
        <v>0</v>
      </c>
      <c r="BL96" t="s">
        <v>130</v>
      </c>
      <c r="BM96">
        <v>1</v>
      </c>
      <c r="BN96">
        <v>0</v>
      </c>
      <c r="BO96">
        <v>0</v>
      </c>
      <c r="BP96">
        <v>0</v>
      </c>
      <c r="BT96">
        <v>0</v>
      </c>
      <c r="BU96">
        <v>0</v>
      </c>
      <c r="CE96" t="str">
        <f>"20:16:17.458"</f>
        <v>20:16:17.458</v>
      </c>
      <c r="CF96">
        <v>457861350</v>
      </c>
      <c r="CS96">
        <v>0</v>
      </c>
      <c r="CT96">
        <v>1</v>
      </c>
      <c r="CU96">
        <v>0</v>
      </c>
      <c r="CV96">
        <v>2</v>
      </c>
      <c r="CW96">
        <v>0</v>
      </c>
      <c r="CX96">
        <v>2</v>
      </c>
      <c r="CY96">
        <v>7</v>
      </c>
      <c r="CZ96" t="s">
        <v>131</v>
      </c>
      <c r="DA96">
        <v>116</v>
      </c>
      <c r="DB96">
        <v>3</v>
      </c>
      <c r="DC96" t="s">
        <v>132</v>
      </c>
      <c r="DD96" t="s">
        <v>133</v>
      </c>
      <c r="DG96">
        <v>8092745</v>
      </c>
      <c r="DI96">
        <v>0</v>
      </c>
      <c r="DJ96">
        <v>0</v>
      </c>
      <c r="DK96">
        <v>1</v>
      </c>
      <c r="DL96">
        <v>0</v>
      </c>
      <c r="DM96">
        <v>0</v>
      </c>
      <c r="DN96">
        <v>0</v>
      </c>
      <c r="DO96">
        <v>0</v>
      </c>
      <c r="DP96">
        <v>1</v>
      </c>
      <c r="DQ96">
        <v>0</v>
      </c>
      <c r="DR96">
        <v>0</v>
      </c>
      <c r="DS96">
        <v>0</v>
      </c>
    </row>
    <row r="97" spans="1:123" x14ac:dyDescent="0.25">
      <c r="A97" t="str">
        <f>"11/29/2023 20:16:17.788"</f>
        <v>11/29/2023 20:16:17.788</v>
      </c>
      <c r="C97" t="str">
        <f t="shared" si="16"/>
        <v>FFDF53C0</v>
      </c>
      <c r="D97" t="s">
        <v>135</v>
      </c>
      <c r="E97">
        <v>31</v>
      </c>
      <c r="H97">
        <v>285</v>
      </c>
      <c r="I97" t="s">
        <v>136</v>
      </c>
      <c r="J97" t="s">
        <v>137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"20:16:17.453"</f>
        <v>20:16:17.453</v>
      </c>
      <c r="T97" t="str">
        <f>"20:16:17.253"</f>
        <v>20:16:17.253</v>
      </c>
      <c r="U97" t="str">
        <f t="shared" si="13"/>
        <v>AA0632</v>
      </c>
      <c r="V97">
        <v>0</v>
      </c>
      <c r="W97">
        <v>0</v>
      </c>
      <c r="X97">
        <v>2</v>
      </c>
      <c r="Y97">
        <v>0</v>
      </c>
      <c r="AA97">
        <v>0</v>
      </c>
      <c r="AB97">
        <v>8</v>
      </c>
      <c r="AC97">
        <v>3</v>
      </c>
      <c r="AD97">
        <v>0</v>
      </c>
      <c r="AE97">
        <v>9</v>
      </c>
      <c r="AF97" t="s">
        <v>126</v>
      </c>
      <c r="AG97">
        <v>0</v>
      </c>
      <c r="AH97">
        <v>0</v>
      </c>
      <c r="AI97">
        <v>2</v>
      </c>
      <c r="AJ97">
        <v>0</v>
      </c>
      <c r="AK97" t="s">
        <v>199</v>
      </c>
      <c r="AL97">
        <v>31.961781999999999</v>
      </c>
      <c r="AM97" t="s">
        <v>200</v>
      </c>
      <c r="AN97">
        <v>-101.13221900000001</v>
      </c>
      <c r="AQ97" t="s">
        <v>129</v>
      </c>
      <c r="AR97">
        <v>-90</v>
      </c>
      <c r="AS97">
        <v>14</v>
      </c>
      <c r="AT97">
        <v>0</v>
      </c>
      <c r="BB97" t="str">
        <f t="shared" si="14"/>
        <v>1200</v>
      </c>
      <c r="BC97">
        <v>1</v>
      </c>
      <c r="BD97" t="str">
        <f t="shared" si="17"/>
        <v xml:space="preserve">N745MB  </v>
      </c>
      <c r="BE97">
        <v>1</v>
      </c>
      <c r="BG97">
        <v>0</v>
      </c>
      <c r="BH97">
        <v>0</v>
      </c>
      <c r="BI97">
        <v>0</v>
      </c>
      <c r="BL97" t="s">
        <v>130</v>
      </c>
      <c r="BM97">
        <v>1</v>
      </c>
      <c r="BN97">
        <v>0</v>
      </c>
      <c r="BO97">
        <v>0</v>
      </c>
      <c r="BP97">
        <v>0</v>
      </c>
      <c r="BT97">
        <v>0</v>
      </c>
      <c r="BU97">
        <v>0</v>
      </c>
      <c r="CE97" t="str">
        <f>"20:16:17.458"</f>
        <v>20:16:17.458</v>
      </c>
      <c r="CF97">
        <v>457861350</v>
      </c>
      <c r="CS97">
        <v>0</v>
      </c>
      <c r="CT97">
        <v>1</v>
      </c>
      <c r="CU97">
        <v>0</v>
      </c>
      <c r="CV97">
        <v>2</v>
      </c>
      <c r="CW97">
        <v>0</v>
      </c>
      <c r="CX97">
        <v>2</v>
      </c>
      <c r="CY97">
        <v>7</v>
      </c>
      <c r="CZ97" t="s">
        <v>131</v>
      </c>
      <c r="DA97">
        <v>116</v>
      </c>
      <c r="DB97">
        <v>3</v>
      </c>
      <c r="DC97" t="s">
        <v>132</v>
      </c>
      <c r="DD97" t="s">
        <v>133</v>
      </c>
      <c r="DG97">
        <v>8092745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1</v>
      </c>
      <c r="DQ97">
        <v>0</v>
      </c>
      <c r="DR97">
        <v>0</v>
      </c>
      <c r="DS97">
        <v>0</v>
      </c>
    </row>
    <row r="98" spans="1:123" x14ac:dyDescent="0.25">
      <c r="A98" t="str">
        <f>"11/29/2023 20:16:17.788"</f>
        <v>11/29/2023 20:16:17.788</v>
      </c>
      <c r="C98" t="str">
        <f t="shared" si="16"/>
        <v>FFDF53C0</v>
      </c>
      <c r="D98" t="s">
        <v>123</v>
      </c>
      <c r="E98">
        <v>14</v>
      </c>
      <c r="F98">
        <v>1014</v>
      </c>
      <c r="G98" t="s">
        <v>124</v>
      </c>
      <c r="J98" t="s">
        <v>125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"20:16:17.453"</f>
        <v>20:16:17.453</v>
      </c>
      <c r="T98" t="str">
        <f>"20:16:17.253"</f>
        <v>20:16:17.253</v>
      </c>
      <c r="U98" t="str">
        <f t="shared" si="13"/>
        <v>AA0632</v>
      </c>
      <c r="V98">
        <v>0</v>
      </c>
      <c r="W98">
        <v>0</v>
      </c>
      <c r="X98">
        <v>2</v>
      </c>
      <c r="Y98">
        <v>0</v>
      </c>
      <c r="AA98">
        <v>0</v>
      </c>
      <c r="AB98">
        <v>8</v>
      </c>
      <c r="AC98">
        <v>3</v>
      </c>
      <c r="AD98">
        <v>0</v>
      </c>
      <c r="AE98">
        <v>9</v>
      </c>
      <c r="AF98" t="s">
        <v>126</v>
      </c>
      <c r="AG98">
        <v>0</v>
      </c>
      <c r="AH98">
        <v>0</v>
      </c>
      <c r="AI98">
        <v>2</v>
      </c>
      <c r="AJ98">
        <v>0</v>
      </c>
      <c r="AK98" t="s">
        <v>199</v>
      </c>
      <c r="AL98">
        <v>31.961781999999999</v>
      </c>
      <c r="AM98" t="s">
        <v>200</v>
      </c>
      <c r="AN98">
        <v>-101.13221900000001</v>
      </c>
      <c r="AQ98" t="s">
        <v>129</v>
      </c>
      <c r="AR98">
        <v>-90</v>
      </c>
      <c r="AS98">
        <v>14</v>
      </c>
      <c r="AT98">
        <v>0</v>
      </c>
      <c r="BB98" t="str">
        <f t="shared" si="14"/>
        <v>1200</v>
      </c>
      <c r="BC98">
        <v>1</v>
      </c>
      <c r="BD98" t="str">
        <f t="shared" si="17"/>
        <v xml:space="preserve">N745MB  </v>
      </c>
      <c r="BE98">
        <v>1</v>
      </c>
      <c r="BG98">
        <v>0</v>
      </c>
      <c r="BH98">
        <v>0</v>
      </c>
      <c r="BI98">
        <v>0</v>
      </c>
      <c r="BL98" t="s">
        <v>130</v>
      </c>
      <c r="BM98">
        <v>1</v>
      </c>
      <c r="BN98">
        <v>0</v>
      </c>
      <c r="BO98">
        <v>0</v>
      </c>
      <c r="BP98">
        <v>0</v>
      </c>
      <c r="BT98">
        <v>0</v>
      </c>
      <c r="BU98">
        <v>0</v>
      </c>
      <c r="CE98" t="str">
        <f>"20:16:17.458"</f>
        <v>20:16:17.458</v>
      </c>
      <c r="CF98">
        <v>457861350</v>
      </c>
      <c r="CS98">
        <v>0</v>
      </c>
      <c r="CT98">
        <v>1</v>
      </c>
      <c r="CU98">
        <v>0</v>
      </c>
      <c r="CV98">
        <v>2</v>
      </c>
      <c r="CW98">
        <v>0</v>
      </c>
      <c r="CX98">
        <v>2</v>
      </c>
      <c r="CY98">
        <v>7</v>
      </c>
      <c r="CZ98" t="s">
        <v>131</v>
      </c>
      <c r="DA98">
        <v>116</v>
      </c>
      <c r="DB98">
        <v>3</v>
      </c>
      <c r="DC98" t="s">
        <v>132</v>
      </c>
      <c r="DD98" t="s">
        <v>133</v>
      </c>
      <c r="DG98">
        <v>8092745</v>
      </c>
      <c r="DI98">
        <v>0</v>
      </c>
      <c r="DJ98">
        <v>0</v>
      </c>
      <c r="DK98">
        <v>1</v>
      </c>
      <c r="DL98">
        <v>0</v>
      </c>
      <c r="DM98">
        <v>0</v>
      </c>
      <c r="DN98">
        <v>0</v>
      </c>
      <c r="DO98">
        <v>0</v>
      </c>
      <c r="DP98">
        <v>1</v>
      </c>
      <c r="DQ98">
        <v>0</v>
      </c>
      <c r="DR98">
        <v>0</v>
      </c>
      <c r="DS98">
        <v>0</v>
      </c>
    </row>
    <row r="99" spans="1:123" x14ac:dyDescent="0.25">
      <c r="A99" t="str">
        <f>"11/29/2023 20:16:19.085"</f>
        <v>11/29/2023 20:16:19.085</v>
      </c>
      <c r="C99" t="str">
        <f t="shared" si="16"/>
        <v>FFDF53C0</v>
      </c>
      <c r="D99" t="s">
        <v>138</v>
      </c>
      <c r="E99">
        <v>3</v>
      </c>
      <c r="H99">
        <v>160</v>
      </c>
      <c r="I99" t="s">
        <v>124</v>
      </c>
      <c r="J99" t="s">
        <v>139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"20:16:18.820"</f>
        <v>20:16:18.820</v>
      </c>
      <c r="T99" t="str">
        <f>"20:16:18.720"</f>
        <v>20:16:18.720</v>
      </c>
      <c r="U99" t="str">
        <f t="shared" si="13"/>
        <v>AA0632</v>
      </c>
      <c r="V99">
        <v>0</v>
      </c>
      <c r="W99">
        <v>0</v>
      </c>
      <c r="X99">
        <v>2</v>
      </c>
      <c r="Y99">
        <v>0</v>
      </c>
      <c r="AA99">
        <v>0</v>
      </c>
      <c r="AB99">
        <v>8</v>
      </c>
      <c r="AC99">
        <v>3</v>
      </c>
      <c r="AD99">
        <v>0</v>
      </c>
      <c r="AE99">
        <v>9</v>
      </c>
      <c r="AF99" t="s">
        <v>126</v>
      </c>
      <c r="AG99">
        <v>0</v>
      </c>
      <c r="AH99">
        <v>0</v>
      </c>
      <c r="AI99">
        <v>2</v>
      </c>
      <c r="AJ99">
        <v>0</v>
      </c>
      <c r="AK99" t="s">
        <v>199</v>
      </c>
      <c r="AL99">
        <v>31.961781999999999</v>
      </c>
      <c r="AM99" t="s">
        <v>201</v>
      </c>
      <c r="AN99">
        <v>-101.13297</v>
      </c>
      <c r="AQ99" t="s">
        <v>129</v>
      </c>
      <c r="AR99">
        <v>-90</v>
      </c>
      <c r="AS99">
        <v>9</v>
      </c>
      <c r="AT99">
        <v>256</v>
      </c>
      <c r="BB99" t="str">
        <f t="shared" si="14"/>
        <v>1200</v>
      </c>
      <c r="BC99">
        <v>1</v>
      </c>
      <c r="BD99" t="str">
        <f t="shared" si="17"/>
        <v xml:space="preserve">N745MB  </v>
      </c>
      <c r="BE99">
        <v>1</v>
      </c>
      <c r="BG99">
        <v>0</v>
      </c>
      <c r="BH99">
        <v>0</v>
      </c>
      <c r="BI99">
        <v>0</v>
      </c>
      <c r="BL99" t="s">
        <v>130</v>
      </c>
      <c r="BM99">
        <v>1</v>
      </c>
      <c r="BN99">
        <v>0</v>
      </c>
      <c r="BO99">
        <v>0</v>
      </c>
      <c r="BP99">
        <v>0</v>
      </c>
      <c r="BT99">
        <v>0</v>
      </c>
      <c r="BU99">
        <v>0</v>
      </c>
      <c r="CE99" t="str">
        <f>"20:16:18.828"</f>
        <v>20:16:18.828</v>
      </c>
      <c r="CF99">
        <v>827779911</v>
      </c>
      <c r="CS99">
        <v>0</v>
      </c>
      <c r="CT99">
        <v>1</v>
      </c>
      <c r="CU99">
        <v>0</v>
      </c>
      <c r="CV99">
        <v>2</v>
      </c>
      <c r="CW99">
        <v>0</v>
      </c>
      <c r="CX99">
        <v>2</v>
      </c>
      <c r="CY99">
        <v>7</v>
      </c>
      <c r="CZ99" t="s">
        <v>131</v>
      </c>
      <c r="DA99">
        <v>483</v>
      </c>
      <c r="DB99">
        <v>1</v>
      </c>
      <c r="DC99" t="s">
        <v>169</v>
      </c>
      <c r="DD99" t="s">
        <v>170</v>
      </c>
      <c r="DG99">
        <v>7290696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1</v>
      </c>
      <c r="DQ99">
        <v>0</v>
      </c>
      <c r="DR99">
        <v>0</v>
      </c>
      <c r="DS99">
        <v>0</v>
      </c>
    </row>
    <row r="100" spans="1:123" x14ac:dyDescent="0.25">
      <c r="A100" t="str">
        <f>"11/29/2023 20:16:19.085"</f>
        <v>11/29/2023 20:16:19.085</v>
      </c>
      <c r="C100" t="str">
        <f t="shared" si="16"/>
        <v>FFDF53C0</v>
      </c>
      <c r="D100" t="s">
        <v>123</v>
      </c>
      <c r="E100">
        <v>1</v>
      </c>
      <c r="F100">
        <v>1001</v>
      </c>
      <c r="G100" t="s">
        <v>134</v>
      </c>
      <c r="J100" t="s">
        <v>125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"20:16:18.820"</f>
        <v>20:16:18.820</v>
      </c>
      <c r="T100" t="str">
        <f>"20:16:18.720"</f>
        <v>20:16:18.720</v>
      </c>
      <c r="U100" t="str">
        <f t="shared" si="13"/>
        <v>AA0632</v>
      </c>
      <c r="V100">
        <v>0</v>
      </c>
      <c r="W100">
        <v>0</v>
      </c>
      <c r="X100">
        <v>2</v>
      </c>
      <c r="Y100">
        <v>0</v>
      </c>
      <c r="AA100">
        <v>0</v>
      </c>
      <c r="AB100">
        <v>8</v>
      </c>
      <c r="AC100">
        <v>3</v>
      </c>
      <c r="AD100">
        <v>0</v>
      </c>
      <c r="AE100">
        <v>8</v>
      </c>
      <c r="AF100" t="s">
        <v>126</v>
      </c>
      <c r="AG100">
        <v>0</v>
      </c>
      <c r="AH100">
        <v>0</v>
      </c>
      <c r="AI100">
        <v>2</v>
      </c>
      <c r="AJ100">
        <v>0</v>
      </c>
      <c r="AK100" t="s">
        <v>199</v>
      </c>
      <c r="AL100">
        <v>31.961781999999999</v>
      </c>
      <c r="AM100" t="s">
        <v>201</v>
      </c>
      <c r="AN100">
        <v>-101.13297</v>
      </c>
      <c r="AQ100" t="s">
        <v>129</v>
      </c>
      <c r="AR100">
        <v>-90</v>
      </c>
      <c r="AS100">
        <v>9</v>
      </c>
      <c r="AT100">
        <v>256</v>
      </c>
      <c r="BB100" t="str">
        <f t="shared" si="14"/>
        <v>1200</v>
      </c>
      <c r="BC100">
        <v>1</v>
      </c>
      <c r="BD100" t="str">
        <f t="shared" si="17"/>
        <v xml:space="preserve">N745MB  </v>
      </c>
      <c r="BE100">
        <v>1</v>
      </c>
      <c r="BG100">
        <v>0</v>
      </c>
      <c r="BH100">
        <v>0</v>
      </c>
      <c r="BI100">
        <v>0</v>
      </c>
      <c r="BL100" t="s">
        <v>130</v>
      </c>
      <c r="BM100">
        <v>1</v>
      </c>
      <c r="BN100">
        <v>0</v>
      </c>
      <c r="BO100">
        <v>0</v>
      </c>
      <c r="BP100">
        <v>0</v>
      </c>
      <c r="BT100">
        <v>0</v>
      </c>
      <c r="BU100">
        <v>0</v>
      </c>
      <c r="CE100" t="str">
        <f>"20:16:18.828"</f>
        <v>20:16:18.828</v>
      </c>
      <c r="CF100">
        <v>827766519</v>
      </c>
      <c r="CS100">
        <v>0</v>
      </c>
      <c r="CT100">
        <v>1</v>
      </c>
      <c r="CU100">
        <v>0</v>
      </c>
      <c r="CV100">
        <v>2</v>
      </c>
      <c r="CW100">
        <v>0</v>
      </c>
      <c r="CX100">
        <v>2</v>
      </c>
      <c r="CY100">
        <v>7</v>
      </c>
      <c r="CZ100" t="s">
        <v>131</v>
      </c>
      <c r="DA100">
        <v>116</v>
      </c>
      <c r="DB100">
        <v>3</v>
      </c>
      <c r="DC100" t="s">
        <v>132</v>
      </c>
      <c r="DD100" t="s">
        <v>133</v>
      </c>
      <c r="DG100">
        <v>8093472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0</v>
      </c>
      <c r="DO100">
        <v>0</v>
      </c>
      <c r="DP100">
        <v>1</v>
      </c>
      <c r="DQ100">
        <v>0</v>
      </c>
      <c r="DR100">
        <v>0</v>
      </c>
      <c r="DS100">
        <v>0</v>
      </c>
    </row>
    <row r="101" spans="1:123" x14ac:dyDescent="0.25">
      <c r="A101" t="str">
        <f>"11/29/2023 20:16:19.085"</f>
        <v>11/29/2023 20:16:19.085</v>
      </c>
      <c r="C101" t="str">
        <f t="shared" si="16"/>
        <v>FFDF53C0</v>
      </c>
      <c r="D101" t="s">
        <v>135</v>
      </c>
      <c r="E101">
        <v>31</v>
      </c>
      <c r="H101">
        <v>285</v>
      </c>
      <c r="I101" t="s">
        <v>136</v>
      </c>
      <c r="J101" t="s">
        <v>137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"20:16:18.820"</f>
        <v>20:16:18.820</v>
      </c>
      <c r="T101" t="str">
        <f>"20:16:18.720"</f>
        <v>20:16:18.720</v>
      </c>
      <c r="U101" t="str">
        <f t="shared" si="13"/>
        <v>AA0632</v>
      </c>
      <c r="V101">
        <v>0</v>
      </c>
      <c r="W101">
        <v>0</v>
      </c>
      <c r="X101">
        <v>2</v>
      </c>
      <c r="Y101">
        <v>0</v>
      </c>
      <c r="AA101">
        <v>0</v>
      </c>
      <c r="AB101">
        <v>8</v>
      </c>
      <c r="AC101">
        <v>3</v>
      </c>
      <c r="AD101">
        <v>0</v>
      </c>
      <c r="AE101">
        <v>8</v>
      </c>
      <c r="AF101" t="s">
        <v>126</v>
      </c>
      <c r="AG101">
        <v>0</v>
      </c>
      <c r="AH101">
        <v>0</v>
      </c>
      <c r="AI101">
        <v>2</v>
      </c>
      <c r="AJ101">
        <v>0</v>
      </c>
      <c r="AK101" t="s">
        <v>199</v>
      </c>
      <c r="AL101">
        <v>31.961781999999999</v>
      </c>
      <c r="AM101" t="s">
        <v>201</v>
      </c>
      <c r="AN101">
        <v>-101.13297</v>
      </c>
      <c r="AQ101" t="s">
        <v>129</v>
      </c>
      <c r="AR101">
        <v>-90</v>
      </c>
      <c r="AS101">
        <v>9</v>
      </c>
      <c r="AT101">
        <v>256</v>
      </c>
      <c r="BB101" t="str">
        <f t="shared" si="14"/>
        <v>1200</v>
      </c>
      <c r="BC101">
        <v>1</v>
      </c>
      <c r="BD101" t="str">
        <f t="shared" si="17"/>
        <v xml:space="preserve">N745MB  </v>
      </c>
      <c r="BE101">
        <v>1</v>
      </c>
      <c r="BG101">
        <v>0</v>
      </c>
      <c r="BH101">
        <v>0</v>
      </c>
      <c r="BI101">
        <v>0</v>
      </c>
      <c r="BL101" t="s">
        <v>130</v>
      </c>
      <c r="BM101">
        <v>1</v>
      </c>
      <c r="BN101">
        <v>0</v>
      </c>
      <c r="BO101">
        <v>0</v>
      </c>
      <c r="BP101">
        <v>0</v>
      </c>
      <c r="BT101">
        <v>0</v>
      </c>
      <c r="BU101">
        <v>0</v>
      </c>
      <c r="CE101" t="str">
        <f>"20:16:18.828"</f>
        <v>20:16:18.828</v>
      </c>
      <c r="CF101">
        <v>827766519</v>
      </c>
      <c r="CS101">
        <v>0</v>
      </c>
      <c r="CT101">
        <v>1</v>
      </c>
      <c r="CU101">
        <v>0</v>
      </c>
      <c r="CV101">
        <v>2</v>
      </c>
      <c r="CW101">
        <v>0</v>
      </c>
      <c r="CX101">
        <v>2</v>
      </c>
      <c r="CY101">
        <v>7</v>
      </c>
      <c r="CZ101" t="s">
        <v>131</v>
      </c>
      <c r="DA101">
        <v>116</v>
      </c>
      <c r="DB101">
        <v>3</v>
      </c>
      <c r="DC101" t="s">
        <v>132</v>
      </c>
      <c r="DD101" t="s">
        <v>133</v>
      </c>
      <c r="DG101">
        <v>8093472</v>
      </c>
      <c r="DI101">
        <v>0</v>
      </c>
      <c r="DJ101">
        <v>0</v>
      </c>
      <c r="DK101">
        <v>1</v>
      </c>
      <c r="DL101">
        <v>0</v>
      </c>
      <c r="DM101">
        <v>0</v>
      </c>
      <c r="DN101">
        <v>0</v>
      </c>
      <c r="DO101">
        <v>0</v>
      </c>
      <c r="DP101">
        <v>1</v>
      </c>
      <c r="DQ101">
        <v>0</v>
      </c>
      <c r="DR101">
        <v>0</v>
      </c>
      <c r="DS101">
        <v>0</v>
      </c>
    </row>
    <row r="102" spans="1:123" x14ac:dyDescent="0.25">
      <c r="A102" t="str">
        <f>"11/29/2023 20:16:19.085"</f>
        <v>11/29/2023 20:16:19.085</v>
      </c>
      <c r="C102" t="str">
        <f t="shared" si="16"/>
        <v>FFDF53C0</v>
      </c>
      <c r="D102" t="s">
        <v>123</v>
      </c>
      <c r="E102">
        <v>14</v>
      </c>
      <c r="F102">
        <v>1014</v>
      </c>
      <c r="G102" t="s">
        <v>124</v>
      </c>
      <c r="J102" t="s">
        <v>125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"20:16:18.820"</f>
        <v>20:16:18.820</v>
      </c>
      <c r="T102" t="str">
        <f>"20:16:18.720"</f>
        <v>20:16:18.720</v>
      </c>
      <c r="U102" t="str">
        <f t="shared" si="13"/>
        <v>AA0632</v>
      </c>
      <c r="V102">
        <v>0</v>
      </c>
      <c r="W102">
        <v>0</v>
      </c>
      <c r="X102">
        <v>2</v>
      </c>
      <c r="Y102">
        <v>0</v>
      </c>
      <c r="AA102">
        <v>0</v>
      </c>
      <c r="AB102">
        <v>8</v>
      </c>
      <c r="AC102">
        <v>3</v>
      </c>
      <c r="AD102">
        <v>0</v>
      </c>
      <c r="AE102">
        <v>9</v>
      </c>
      <c r="AF102" t="s">
        <v>126</v>
      </c>
      <c r="AG102">
        <v>0</v>
      </c>
      <c r="AH102">
        <v>0</v>
      </c>
      <c r="AI102">
        <v>2</v>
      </c>
      <c r="AJ102">
        <v>0</v>
      </c>
      <c r="AK102" t="s">
        <v>199</v>
      </c>
      <c r="AL102">
        <v>31.961781999999999</v>
      </c>
      <c r="AM102" t="s">
        <v>201</v>
      </c>
      <c r="AN102">
        <v>-101.13297</v>
      </c>
      <c r="AQ102" t="s">
        <v>129</v>
      </c>
      <c r="AR102">
        <v>-90</v>
      </c>
      <c r="AS102">
        <v>9</v>
      </c>
      <c r="AT102">
        <v>256</v>
      </c>
      <c r="BB102" t="str">
        <f t="shared" si="14"/>
        <v>1200</v>
      </c>
      <c r="BC102">
        <v>1</v>
      </c>
      <c r="BD102" t="str">
        <f t="shared" si="17"/>
        <v xml:space="preserve">N745MB  </v>
      </c>
      <c r="BE102">
        <v>1</v>
      </c>
      <c r="BG102">
        <v>0</v>
      </c>
      <c r="BH102">
        <v>0</v>
      </c>
      <c r="BI102">
        <v>0</v>
      </c>
      <c r="BL102" t="s">
        <v>130</v>
      </c>
      <c r="BM102">
        <v>1</v>
      </c>
      <c r="BN102">
        <v>0</v>
      </c>
      <c r="BO102">
        <v>0</v>
      </c>
      <c r="BP102">
        <v>0</v>
      </c>
      <c r="BT102">
        <v>0</v>
      </c>
      <c r="BU102">
        <v>0</v>
      </c>
      <c r="CE102" t="str">
        <f>"20:16:18.828"</f>
        <v>20:16:18.828</v>
      </c>
      <c r="CF102">
        <v>827779911</v>
      </c>
      <c r="CS102">
        <v>0</v>
      </c>
      <c r="CT102">
        <v>1</v>
      </c>
      <c r="CU102">
        <v>0</v>
      </c>
      <c r="CV102">
        <v>2</v>
      </c>
      <c r="CW102">
        <v>0</v>
      </c>
      <c r="CX102">
        <v>2</v>
      </c>
      <c r="CY102">
        <v>7</v>
      </c>
      <c r="CZ102" t="s">
        <v>131</v>
      </c>
      <c r="DA102">
        <v>483</v>
      </c>
      <c r="DB102">
        <v>1</v>
      </c>
      <c r="DC102" t="s">
        <v>169</v>
      </c>
      <c r="DD102" t="s">
        <v>170</v>
      </c>
      <c r="DG102">
        <v>7290696</v>
      </c>
      <c r="DI102">
        <v>0</v>
      </c>
      <c r="DJ102">
        <v>0</v>
      </c>
      <c r="DK102">
        <v>1</v>
      </c>
      <c r="DL102">
        <v>0</v>
      </c>
      <c r="DM102">
        <v>0</v>
      </c>
      <c r="DN102">
        <v>0</v>
      </c>
      <c r="DO102">
        <v>0</v>
      </c>
      <c r="DP102">
        <v>1</v>
      </c>
      <c r="DQ102">
        <v>0</v>
      </c>
      <c r="DR102">
        <v>0</v>
      </c>
      <c r="DS102">
        <v>0</v>
      </c>
    </row>
    <row r="103" spans="1:123" x14ac:dyDescent="0.25">
      <c r="A103" t="str">
        <f>"11/29/2023 20:16:20.585"</f>
        <v>11/29/2023 20:16:20.585</v>
      </c>
      <c r="C103" t="str">
        <f t="shared" si="16"/>
        <v>FFDF53C0</v>
      </c>
      <c r="D103" t="s">
        <v>138</v>
      </c>
      <c r="E103">
        <v>3</v>
      </c>
      <c r="H103">
        <v>160</v>
      </c>
      <c r="I103" t="s">
        <v>124</v>
      </c>
      <c r="J103" t="s">
        <v>139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 t="shared" ref="S103:T106" si="18">"20:16:20.281"</f>
        <v>20:16:20.281</v>
      </c>
      <c r="T103" t="str">
        <f t="shared" si="18"/>
        <v>20:16:20.281</v>
      </c>
      <c r="U103" t="str">
        <f t="shared" si="13"/>
        <v>AA0632</v>
      </c>
      <c r="V103">
        <v>0</v>
      </c>
      <c r="W103">
        <v>0</v>
      </c>
      <c r="X103">
        <v>2</v>
      </c>
      <c r="Y103">
        <v>0</v>
      </c>
      <c r="AA103">
        <v>0</v>
      </c>
      <c r="AB103">
        <v>8</v>
      </c>
      <c r="AC103">
        <v>3</v>
      </c>
      <c r="AD103">
        <v>0</v>
      </c>
      <c r="AE103">
        <v>8</v>
      </c>
      <c r="AF103" t="s">
        <v>126</v>
      </c>
      <c r="AG103">
        <v>0</v>
      </c>
      <c r="AH103">
        <v>0</v>
      </c>
      <c r="AI103">
        <v>2</v>
      </c>
      <c r="AJ103">
        <v>0</v>
      </c>
      <c r="AK103" t="s">
        <v>202</v>
      </c>
      <c r="AL103">
        <v>31.961888999999999</v>
      </c>
      <c r="AM103" t="s">
        <v>203</v>
      </c>
      <c r="AN103">
        <v>-101.13359199999999</v>
      </c>
      <c r="AQ103" t="s">
        <v>129</v>
      </c>
      <c r="AR103">
        <v>-89</v>
      </c>
      <c r="AS103">
        <v>5</v>
      </c>
      <c r="AT103">
        <v>128</v>
      </c>
      <c r="BB103" t="str">
        <f t="shared" si="14"/>
        <v>1200</v>
      </c>
      <c r="BC103">
        <v>1</v>
      </c>
      <c r="BD103" t="str">
        <f t="shared" si="17"/>
        <v xml:space="preserve">N745MB  </v>
      </c>
      <c r="BE103">
        <v>1</v>
      </c>
      <c r="BG103">
        <v>0</v>
      </c>
      <c r="BH103">
        <v>0</v>
      </c>
      <c r="BI103">
        <v>0</v>
      </c>
      <c r="BL103" t="s">
        <v>130</v>
      </c>
      <c r="BM103">
        <v>1</v>
      </c>
      <c r="BN103">
        <v>0</v>
      </c>
      <c r="BO103">
        <v>0</v>
      </c>
      <c r="BP103">
        <v>0</v>
      </c>
      <c r="BT103">
        <v>0</v>
      </c>
      <c r="BU103">
        <v>0</v>
      </c>
      <c r="CE103" t="str">
        <f>"20:16:20.288"</f>
        <v>20:16:20.288</v>
      </c>
      <c r="CF103">
        <v>287666135</v>
      </c>
      <c r="CS103">
        <v>0</v>
      </c>
      <c r="CT103">
        <v>1</v>
      </c>
      <c r="CU103">
        <v>0</v>
      </c>
      <c r="CV103">
        <v>2</v>
      </c>
      <c r="CW103">
        <v>0</v>
      </c>
      <c r="CX103">
        <v>3</v>
      </c>
      <c r="CY103">
        <v>7</v>
      </c>
      <c r="CZ103" t="s">
        <v>131</v>
      </c>
      <c r="DA103">
        <v>116</v>
      </c>
      <c r="DB103">
        <v>3</v>
      </c>
      <c r="DC103" t="s">
        <v>132</v>
      </c>
      <c r="DD103" t="s">
        <v>133</v>
      </c>
      <c r="DG103">
        <v>8094321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1</v>
      </c>
      <c r="DQ103">
        <v>0</v>
      </c>
      <c r="DR103">
        <v>0</v>
      </c>
      <c r="DS103">
        <v>0</v>
      </c>
    </row>
    <row r="104" spans="1:123" x14ac:dyDescent="0.25">
      <c r="A104" t="str">
        <f>"11/29/2023 20:16:20.663"</f>
        <v>11/29/2023 20:16:20.663</v>
      </c>
      <c r="C104" t="str">
        <f t="shared" si="16"/>
        <v>FFDF53C0</v>
      </c>
      <c r="D104" t="s">
        <v>135</v>
      </c>
      <c r="E104">
        <v>31</v>
      </c>
      <c r="H104">
        <v>285</v>
      </c>
      <c r="I104" t="s">
        <v>136</v>
      </c>
      <c r="J104" t="s">
        <v>137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 t="shared" si="18"/>
        <v>20:16:20.281</v>
      </c>
      <c r="T104" t="str">
        <f t="shared" si="18"/>
        <v>20:16:20.281</v>
      </c>
      <c r="U104" t="str">
        <f t="shared" si="13"/>
        <v>AA0632</v>
      </c>
      <c r="V104">
        <v>0</v>
      </c>
      <c r="W104">
        <v>0</v>
      </c>
      <c r="X104">
        <v>2</v>
      </c>
      <c r="Y104">
        <v>0</v>
      </c>
      <c r="AA104">
        <v>0</v>
      </c>
      <c r="AB104">
        <v>8</v>
      </c>
      <c r="AC104">
        <v>3</v>
      </c>
      <c r="AD104">
        <v>0</v>
      </c>
      <c r="AE104">
        <v>8</v>
      </c>
      <c r="AF104" t="s">
        <v>126</v>
      </c>
      <c r="AG104">
        <v>0</v>
      </c>
      <c r="AH104">
        <v>0</v>
      </c>
      <c r="AI104">
        <v>2</v>
      </c>
      <c r="AJ104">
        <v>0</v>
      </c>
      <c r="AK104" t="s">
        <v>202</v>
      </c>
      <c r="AL104">
        <v>31.961888999999999</v>
      </c>
      <c r="AM104" t="s">
        <v>203</v>
      </c>
      <c r="AN104">
        <v>-101.13359199999999</v>
      </c>
      <c r="AQ104" t="s">
        <v>129</v>
      </c>
      <c r="AR104">
        <v>-89</v>
      </c>
      <c r="AS104">
        <v>5</v>
      </c>
      <c r="AT104">
        <v>128</v>
      </c>
      <c r="BB104" t="str">
        <f t="shared" si="14"/>
        <v>1200</v>
      </c>
      <c r="BC104">
        <v>1</v>
      </c>
      <c r="BD104" t="str">
        <f t="shared" si="17"/>
        <v xml:space="preserve">N745MB  </v>
      </c>
      <c r="BE104">
        <v>1</v>
      </c>
      <c r="BG104">
        <v>0</v>
      </c>
      <c r="BH104">
        <v>0</v>
      </c>
      <c r="BI104">
        <v>0</v>
      </c>
      <c r="BL104" t="s">
        <v>130</v>
      </c>
      <c r="BM104">
        <v>1</v>
      </c>
      <c r="BN104">
        <v>0</v>
      </c>
      <c r="BO104">
        <v>0</v>
      </c>
      <c r="BP104">
        <v>0</v>
      </c>
      <c r="BT104">
        <v>0</v>
      </c>
      <c r="BU104">
        <v>0</v>
      </c>
      <c r="CE104" t="str">
        <f>"20:16:20.288"</f>
        <v>20:16:20.288</v>
      </c>
      <c r="CF104">
        <v>287666135</v>
      </c>
      <c r="CS104">
        <v>0</v>
      </c>
      <c r="CT104">
        <v>1</v>
      </c>
      <c r="CU104">
        <v>0</v>
      </c>
      <c r="CV104">
        <v>2</v>
      </c>
      <c r="CW104">
        <v>0</v>
      </c>
      <c r="CX104">
        <v>3</v>
      </c>
      <c r="CY104">
        <v>7</v>
      </c>
      <c r="CZ104" t="s">
        <v>131</v>
      </c>
      <c r="DA104">
        <v>116</v>
      </c>
      <c r="DB104">
        <v>3</v>
      </c>
      <c r="DC104" t="s">
        <v>132</v>
      </c>
      <c r="DD104" t="s">
        <v>133</v>
      </c>
      <c r="DG104">
        <v>8094321</v>
      </c>
      <c r="DI104">
        <v>0</v>
      </c>
      <c r="DJ104">
        <v>0</v>
      </c>
      <c r="DK104">
        <v>1</v>
      </c>
      <c r="DL104">
        <v>0</v>
      </c>
      <c r="DM104">
        <v>0</v>
      </c>
      <c r="DN104">
        <v>0</v>
      </c>
      <c r="DO104">
        <v>0</v>
      </c>
      <c r="DP104">
        <v>1</v>
      </c>
      <c r="DQ104">
        <v>0</v>
      </c>
      <c r="DR104">
        <v>0</v>
      </c>
      <c r="DS104">
        <v>0</v>
      </c>
    </row>
    <row r="105" spans="1:123" x14ac:dyDescent="0.25">
      <c r="A105" t="str">
        <f>"11/29/2023 20:16:20.585"</f>
        <v>11/29/2023 20:16:20.585</v>
      </c>
      <c r="C105" t="str">
        <f t="shared" si="16"/>
        <v>FFDF53C0</v>
      </c>
      <c r="D105" t="s">
        <v>123</v>
      </c>
      <c r="E105">
        <v>1</v>
      </c>
      <c r="F105">
        <v>1001</v>
      </c>
      <c r="G105" t="s">
        <v>134</v>
      </c>
      <c r="J105" t="s">
        <v>125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 t="shared" si="18"/>
        <v>20:16:20.281</v>
      </c>
      <c r="T105" t="str">
        <f t="shared" si="18"/>
        <v>20:16:20.281</v>
      </c>
      <c r="U105" t="str">
        <f t="shared" si="13"/>
        <v>AA0632</v>
      </c>
      <c r="V105">
        <v>0</v>
      </c>
      <c r="W105">
        <v>0</v>
      </c>
      <c r="X105">
        <v>2</v>
      </c>
      <c r="Y105">
        <v>0</v>
      </c>
      <c r="AA105">
        <v>0</v>
      </c>
      <c r="AB105">
        <v>8</v>
      </c>
      <c r="AC105">
        <v>3</v>
      </c>
      <c r="AD105">
        <v>0</v>
      </c>
      <c r="AE105">
        <v>8</v>
      </c>
      <c r="AF105" t="s">
        <v>126</v>
      </c>
      <c r="AG105">
        <v>0</v>
      </c>
      <c r="AH105">
        <v>0</v>
      </c>
      <c r="AI105">
        <v>2</v>
      </c>
      <c r="AJ105">
        <v>0</v>
      </c>
      <c r="AK105" t="s">
        <v>202</v>
      </c>
      <c r="AL105">
        <v>31.961888999999999</v>
      </c>
      <c r="AM105" t="s">
        <v>203</v>
      </c>
      <c r="AN105">
        <v>-101.13359199999999</v>
      </c>
      <c r="AQ105" t="s">
        <v>129</v>
      </c>
      <c r="AR105">
        <v>-89</v>
      </c>
      <c r="AS105">
        <v>5</v>
      </c>
      <c r="AT105">
        <v>128</v>
      </c>
      <c r="BB105" t="str">
        <f t="shared" si="14"/>
        <v>1200</v>
      </c>
      <c r="BC105">
        <v>1</v>
      </c>
      <c r="BD105" t="str">
        <f t="shared" si="17"/>
        <v xml:space="preserve">N745MB  </v>
      </c>
      <c r="BE105">
        <v>1</v>
      </c>
      <c r="BG105">
        <v>0</v>
      </c>
      <c r="BH105">
        <v>0</v>
      </c>
      <c r="BI105">
        <v>0</v>
      </c>
      <c r="BL105" t="s">
        <v>130</v>
      </c>
      <c r="BM105">
        <v>1</v>
      </c>
      <c r="BN105">
        <v>0</v>
      </c>
      <c r="BO105">
        <v>0</v>
      </c>
      <c r="BP105">
        <v>0</v>
      </c>
      <c r="BT105">
        <v>0</v>
      </c>
      <c r="BU105">
        <v>0</v>
      </c>
      <c r="CE105" t="str">
        <f>"20:16:20.288"</f>
        <v>20:16:20.288</v>
      </c>
      <c r="CF105">
        <v>287666135</v>
      </c>
      <c r="CS105">
        <v>0</v>
      </c>
      <c r="CT105">
        <v>1</v>
      </c>
      <c r="CU105">
        <v>0</v>
      </c>
      <c r="CV105">
        <v>2</v>
      </c>
      <c r="CW105">
        <v>0</v>
      </c>
      <c r="CX105">
        <v>3</v>
      </c>
      <c r="CY105">
        <v>7</v>
      </c>
      <c r="CZ105" t="s">
        <v>131</v>
      </c>
      <c r="DA105">
        <v>116</v>
      </c>
      <c r="DB105">
        <v>3</v>
      </c>
      <c r="DC105" t="s">
        <v>132</v>
      </c>
      <c r="DD105" t="s">
        <v>133</v>
      </c>
      <c r="DG105">
        <v>8094321</v>
      </c>
      <c r="DI105">
        <v>0</v>
      </c>
      <c r="DJ105">
        <v>0</v>
      </c>
      <c r="DK105">
        <v>1</v>
      </c>
      <c r="DL105">
        <v>0</v>
      </c>
      <c r="DM105">
        <v>0</v>
      </c>
      <c r="DN105">
        <v>0</v>
      </c>
      <c r="DO105">
        <v>0</v>
      </c>
      <c r="DP105">
        <v>1</v>
      </c>
      <c r="DQ105">
        <v>0</v>
      </c>
      <c r="DR105">
        <v>0</v>
      </c>
      <c r="DS105">
        <v>0</v>
      </c>
    </row>
    <row r="106" spans="1:123" x14ac:dyDescent="0.25">
      <c r="A106" t="str">
        <f>"11/29/2023 20:16:20.663"</f>
        <v>11/29/2023 20:16:20.663</v>
      </c>
      <c r="C106" t="str">
        <f t="shared" si="16"/>
        <v>FFDF53C0</v>
      </c>
      <c r="D106" t="s">
        <v>123</v>
      </c>
      <c r="E106">
        <v>14</v>
      </c>
      <c r="F106">
        <v>1014</v>
      </c>
      <c r="G106" t="s">
        <v>124</v>
      </c>
      <c r="J106" t="s">
        <v>125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 t="shared" si="18"/>
        <v>20:16:20.281</v>
      </c>
      <c r="T106" t="str">
        <f t="shared" si="18"/>
        <v>20:16:20.281</v>
      </c>
      <c r="U106" t="str">
        <f t="shared" si="13"/>
        <v>AA0632</v>
      </c>
      <c r="V106">
        <v>0</v>
      </c>
      <c r="W106">
        <v>0</v>
      </c>
      <c r="X106">
        <v>2</v>
      </c>
      <c r="Y106">
        <v>0</v>
      </c>
      <c r="AA106">
        <v>0</v>
      </c>
      <c r="AB106">
        <v>8</v>
      </c>
      <c r="AC106">
        <v>3</v>
      </c>
      <c r="AD106">
        <v>0</v>
      </c>
      <c r="AE106">
        <v>8</v>
      </c>
      <c r="AF106" t="s">
        <v>126</v>
      </c>
      <c r="AG106">
        <v>0</v>
      </c>
      <c r="AH106">
        <v>0</v>
      </c>
      <c r="AI106">
        <v>2</v>
      </c>
      <c r="AJ106">
        <v>0</v>
      </c>
      <c r="AK106" t="s">
        <v>202</v>
      </c>
      <c r="AL106">
        <v>31.961888999999999</v>
      </c>
      <c r="AM106" t="s">
        <v>203</v>
      </c>
      <c r="AN106">
        <v>-101.13359199999999</v>
      </c>
      <c r="AQ106" t="s">
        <v>129</v>
      </c>
      <c r="AR106">
        <v>-89</v>
      </c>
      <c r="AS106">
        <v>5</v>
      </c>
      <c r="AT106">
        <v>128</v>
      </c>
      <c r="BB106" t="str">
        <f t="shared" si="14"/>
        <v>1200</v>
      </c>
      <c r="BC106">
        <v>1</v>
      </c>
      <c r="BD106" t="str">
        <f t="shared" si="17"/>
        <v xml:space="preserve">N745MB  </v>
      </c>
      <c r="BE106">
        <v>1</v>
      </c>
      <c r="BG106">
        <v>0</v>
      </c>
      <c r="BH106">
        <v>0</v>
      </c>
      <c r="BI106">
        <v>0</v>
      </c>
      <c r="BL106" t="s">
        <v>130</v>
      </c>
      <c r="BM106">
        <v>1</v>
      </c>
      <c r="BN106">
        <v>0</v>
      </c>
      <c r="BO106">
        <v>0</v>
      </c>
      <c r="BP106">
        <v>0</v>
      </c>
      <c r="BT106">
        <v>0</v>
      </c>
      <c r="BU106">
        <v>0</v>
      </c>
      <c r="CE106" t="str">
        <f>"20:16:20.288"</f>
        <v>20:16:20.288</v>
      </c>
      <c r="CF106">
        <v>287666135</v>
      </c>
      <c r="CS106">
        <v>0</v>
      </c>
      <c r="CT106">
        <v>1</v>
      </c>
      <c r="CU106">
        <v>0</v>
      </c>
      <c r="CV106">
        <v>2</v>
      </c>
      <c r="CW106">
        <v>0</v>
      </c>
      <c r="CX106">
        <v>3</v>
      </c>
      <c r="CY106">
        <v>7</v>
      </c>
      <c r="CZ106" t="s">
        <v>131</v>
      </c>
      <c r="DA106">
        <v>116</v>
      </c>
      <c r="DB106">
        <v>3</v>
      </c>
      <c r="DC106" t="s">
        <v>132</v>
      </c>
      <c r="DD106" t="s">
        <v>133</v>
      </c>
      <c r="DG106">
        <v>8094321</v>
      </c>
      <c r="DI106">
        <v>0</v>
      </c>
      <c r="DJ106">
        <v>0</v>
      </c>
      <c r="DK106">
        <v>1</v>
      </c>
      <c r="DL106">
        <v>0</v>
      </c>
      <c r="DM106">
        <v>0</v>
      </c>
      <c r="DN106">
        <v>0</v>
      </c>
      <c r="DO106">
        <v>0</v>
      </c>
      <c r="DP106">
        <v>1</v>
      </c>
      <c r="DQ106">
        <v>0</v>
      </c>
      <c r="DR106">
        <v>0</v>
      </c>
      <c r="DS106">
        <v>0</v>
      </c>
    </row>
    <row r="107" spans="1:123" x14ac:dyDescent="0.25">
      <c r="A107" t="str">
        <f>"11/29/2023 20:16:22.194"</f>
        <v>11/29/2023 20:16:22.194</v>
      </c>
      <c r="C107" t="str">
        <f t="shared" si="16"/>
        <v>FFDF53C0</v>
      </c>
      <c r="D107" t="s">
        <v>135</v>
      </c>
      <c r="E107">
        <v>31</v>
      </c>
      <c r="H107">
        <v>285</v>
      </c>
      <c r="I107" t="s">
        <v>136</v>
      </c>
      <c r="J107" t="s">
        <v>137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"20:16:21.750"</f>
        <v>20:16:21.750</v>
      </c>
      <c r="T107" t="str">
        <f>"20:16:21.650"</f>
        <v>20:16:21.650</v>
      </c>
      <c r="U107" t="str">
        <f t="shared" si="13"/>
        <v>AA0632</v>
      </c>
      <c r="V107">
        <v>0</v>
      </c>
      <c r="W107">
        <v>0</v>
      </c>
      <c r="X107">
        <v>2</v>
      </c>
      <c r="Y107">
        <v>0</v>
      </c>
      <c r="AA107">
        <v>0</v>
      </c>
      <c r="AB107">
        <v>8</v>
      </c>
      <c r="AC107">
        <v>3</v>
      </c>
      <c r="AD107">
        <v>0</v>
      </c>
      <c r="AE107">
        <v>8</v>
      </c>
      <c r="AF107" t="s">
        <v>126</v>
      </c>
      <c r="AG107">
        <v>0</v>
      </c>
      <c r="AH107">
        <v>0</v>
      </c>
      <c r="AI107">
        <v>2</v>
      </c>
      <c r="AJ107">
        <v>0</v>
      </c>
      <c r="AK107" t="s">
        <v>204</v>
      </c>
      <c r="AL107">
        <v>31.961932000000001</v>
      </c>
      <c r="AM107" t="s">
        <v>205</v>
      </c>
      <c r="AN107">
        <v>-101.1343</v>
      </c>
      <c r="AQ107" t="s">
        <v>129</v>
      </c>
      <c r="AR107">
        <v>-90</v>
      </c>
      <c r="AS107">
        <v>4</v>
      </c>
      <c r="AT107">
        <v>64</v>
      </c>
      <c r="BB107" t="str">
        <f t="shared" si="14"/>
        <v>1200</v>
      </c>
      <c r="BC107">
        <v>1</v>
      </c>
      <c r="BD107" t="str">
        <f t="shared" si="17"/>
        <v xml:space="preserve">N745MB  </v>
      </c>
      <c r="BE107">
        <v>1</v>
      </c>
      <c r="BG107">
        <v>0</v>
      </c>
      <c r="BH107">
        <v>0</v>
      </c>
      <c r="BI107">
        <v>0</v>
      </c>
      <c r="BL107" t="s">
        <v>130</v>
      </c>
      <c r="BM107">
        <v>1</v>
      </c>
      <c r="BN107">
        <v>0</v>
      </c>
      <c r="BO107">
        <v>0</v>
      </c>
      <c r="BP107">
        <v>0</v>
      </c>
      <c r="BT107">
        <v>0</v>
      </c>
      <c r="BU107">
        <v>0</v>
      </c>
      <c r="CE107" t="str">
        <f>"20:16:21.754"</f>
        <v>20:16:21.754</v>
      </c>
      <c r="CF107">
        <v>753564881</v>
      </c>
      <c r="CS107">
        <v>0</v>
      </c>
      <c r="CT107">
        <v>1</v>
      </c>
      <c r="CU107">
        <v>0</v>
      </c>
      <c r="CV107">
        <v>2</v>
      </c>
      <c r="CW107">
        <v>0</v>
      </c>
      <c r="CX107">
        <v>2</v>
      </c>
      <c r="CY107">
        <v>7</v>
      </c>
      <c r="CZ107" t="s">
        <v>131</v>
      </c>
      <c r="DA107">
        <v>116</v>
      </c>
      <c r="DB107">
        <v>3</v>
      </c>
      <c r="DC107" t="s">
        <v>132</v>
      </c>
      <c r="DD107" t="s">
        <v>133</v>
      </c>
      <c r="DG107">
        <v>8095127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1</v>
      </c>
      <c r="DQ107">
        <v>0</v>
      </c>
      <c r="DR107">
        <v>0</v>
      </c>
      <c r="DS107">
        <v>0</v>
      </c>
    </row>
    <row r="108" spans="1:123" x14ac:dyDescent="0.25">
      <c r="A108" t="str">
        <f>"11/29/2023 20:16:22.226"</f>
        <v>11/29/2023 20:16:22.226</v>
      </c>
      <c r="C108" t="str">
        <f t="shared" si="16"/>
        <v>FFDF53C0</v>
      </c>
      <c r="D108" t="s">
        <v>123</v>
      </c>
      <c r="E108">
        <v>14</v>
      </c>
      <c r="F108">
        <v>1014</v>
      </c>
      <c r="G108" t="s">
        <v>124</v>
      </c>
      <c r="J108" t="s">
        <v>125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"20:16:21.750"</f>
        <v>20:16:21.750</v>
      </c>
      <c r="T108" t="str">
        <f>"20:16:21.650"</f>
        <v>20:16:21.650</v>
      </c>
      <c r="U108" t="str">
        <f t="shared" si="13"/>
        <v>AA0632</v>
      </c>
      <c r="V108">
        <v>0</v>
      </c>
      <c r="W108">
        <v>0</v>
      </c>
      <c r="X108">
        <v>2</v>
      </c>
      <c r="Y108">
        <v>0</v>
      </c>
      <c r="AA108">
        <v>0</v>
      </c>
      <c r="AB108">
        <v>8</v>
      </c>
      <c r="AC108">
        <v>3</v>
      </c>
      <c r="AD108">
        <v>0</v>
      </c>
      <c r="AE108">
        <v>8</v>
      </c>
      <c r="AF108" t="s">
        <v>126</v>
      </c>
      <c r="AG108">
        <v>0</v>
      </c>
      <c r="AH108">
        <v>0</v>
      </c>
      <c r="AI108">
        <v>2</v>
      </c>
      <c r="AJ108">
        <v>0</v>
      </c>
      <c r="AK108" t="s">
        <v>204</v>
      </c>
      <c r="AL108">
        <v>31.961932000000001</v>
      </c>
      <c r="AM108" t="s">
        <v>205</v>
      </c>
      <c r="AN108">
        <v>-101.1343</v>
      </c>
      <c r="AQ108" t="s">
        <v>129</v>
      </c>
      <c r="AR108">
        <v>-90</v>
      </c>
      <c r="AS108">
        <v>4</v>
      </c>
      <c r="AT108">
        <v>64</v>
      </c>
      <c r="BB108" t="str">
        <f t="shared" si="14"/>
        <v>1200</v>
      </c>
      <c r="BC108">
        <v>1</v>
      </c>
      <c r="BD108" t="str">
        <f t="shared" si="17"/>
        <v xml:space="preserve">N745MB  </v>
      </c>
      <c r="BE108">
        <v>1</v>
      </c>
      <c r="BG108">
        <v>0</v>
      </c>
      <c r="BH108">
        <v>0</v>
      </c>
      <c r="BI108">
        <v>0</v>
      </c>
      <c r="BL108" t="s">
        <v>130</v>
      </c>
      <c r="BM108">
        <v>1</v>
      </c>
      <c r="BN108">
        <v>0</v>
      </c>
      <c r="BO108">
        <v>0</v>
      </c>
      <c r="BP108">
        <v>0</v>
      </c>
      <c r="BT108">
        <v>0</v>
      </c>
      <c r="BU108">
        <v>0</v>
      </c>
      <c r="CE108" t="str">
        <f>"20:16:21.754"</f>
        <v>20:16:21.754</v>
      </c>
      <c r="CF108">
        <v>753564881</v>
      </c>
      <c r="CS108">
        <v>0</v>
      </c>
      <c r="CT108">
        <v>1</v>
      </c>
      <c r="CU108">
        <v>0</v>
      </c>
      <c r="CV108">
        <v>2</v>
      </c>
      <c r="CW108">
        <v>0</v>
      </c>
      <c r="CX108">
        <v>2</v>
      </c>
      <c r="CY108">
        <v>7</v>
      </c>
      <c r="CZ108" t="s">
        <v>131</v>
      </c>
      <c r="DA108">
        <v>116</v>
      </c>
      <c r="DB108">
        <v>3</v>
      </c>
      <c r="DC108" t="s">
        <v>132</v>
      </c>
      <c r="DD108" t="s">
        <v>133</v>
      </c>
      <c r="DG108">
        <v>8095127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1</v>
      </c>
      <c r="DQ108">
        <v>0</v>
      </c>
      <c r="DR108">
        <v>0</v>
      </c>
      <c r="DS108">
        <v>0</v>
      </c>
    </row>
    <row r="109" spans="1:123" x14ac:dyDescent="0.25">
      <c r="A109" t="str">
        <f>"11/29/2023 20:16:22.257"</f>
        <v>11/29/2023 20:16:22.257</v>
      </c>
      <c r="C109" t="str">
        <f t="shared" si="16"/>
        <v>FFDF53C0</v>
      </c>
      <c r="D109" t="s">
        <v>138</v>
      </c>
      <c r="E109">
        <v>3</v>
      </c>
      <c r="H109">
        <v>160</v>
      </c>
      <c r="I109" t="s">
        <v>124</v>
      </c>
      <c r="J109" t="s">
        <v>139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"20:16:21.750"</f>
        <v>20:16:21.750</v>
      </c>
      <c r="T109" t="str">
        <f>"20:16:21.650"</f>
        <v>20:16:21.650</v>
      </c>
      <c r="U109" t="str">
        <f t="shared" si="13"/>
        <v>AA0632</v>
      </c>
      <c r="V109">
        <v>0</v>
      </c>
      <c r="W109">
        <v>0</v>
      </c>
      <c r="X109">
        <v>2</v>
      </c>
      <c r="Y109">
        <v>0</v>
      </c>
      <c r="AA109">
        <v>0</v>
      </c>
      <c r="AB109">
        <v>8</v>
      </c>
      <c r="AC109">
        <v>3</v>
      </c>
      <c r="AD109">
        <v>0</v>
      </c>
      <c r="AE109">
        <v>8</v>
      </c>
      <c r="AF109" t="s">
        <v>126</v>
      </c>
      <c r="AG109">
        <v>0</v>
      </c>
      <c r="AH109">
        <v>0</v>
      </c>
      <c r="AI109">
        <v>2</v>
      </c>
      <c r="AJ109">
        <v>0</v>
      </c>
      <c r="AK109" t="s">
        <v>204</v>
      </c>
      <c r="AL109">
        <v>31.961932000000001</v>
      </c>
      <c r="AM109" t="s">
        <v>205</v>
      </c>
      <c r="AN109">
        <v>-101.1343</v>
      </c>
      <c r="AQ109" t="s">
        <v>129</v>
      </c>
      <c r="AR109">
        <v>-90</v>
      </c>
      <c r="AS109">
        <v>4</v>
      </c>
      <c r="AT109">
        <v>64</v>
      </c>
      <c r="BB109" t="str">
        <f t="shared" si="14"/>
        <v>1200</v>
      </c>
      <c r="BC109">
        <v>1</v>
      </c>
      <c r="BD109" t="str">
        <f t="shared" si="17"/>
        <v xml:space="preserve">N745MB  </v>
      </c>
      <c r="BE109">
        <v>1</v>
      </c>
      <c r="BG109">
        <v>0</v>
      </c>
      <c r="BH109">
        <v>0</v>
      </c>
      <c r="BI109">
        <v>0</v>
      </c>
      <c r="BL109" t="s">
        <v>130</v>
      </c>
      <c r="BM109">
        <v>1</v>
      </c>
      <c r="BN109">
        <v>0</v>
      </c>
      <c r="BO109">
        <v>0</v>
      </c>
      <c r="BP109">
        <v>0</v>
      </c>
      <c r="BT109">
        <v>0</v>
      </c>
      <c r="BU109">
        <v>0</v>
      </c>
      <c r="CE109" t="str">
        <f>"20:16:21.754"</f>
        <v>20:16:21.754</v>
      </c>
      <c r="CF109">
        <v>753564881</v>
      </c>
      <c r="CS109">
        <v>0</v>
      </c>
      <c r="CT109">
        <v>1</v>
      </c>
      <c r="CU109">
        <v>0</v>
      </c>
      <c r="CV109">
        <v>2</v>
      </c>
      <c r="CW109">
        <v>0</v>
      </c>
      <c r="CX109">
        <v>2</v>
      </c>
      <c r="CY109">
        <v>7</v>
      </c>
      <c r="CZ109" t="s">
        <v>131</v>
      </c>
      <c r="DA109">
        <v>116</v>
      </c>
      <c r="DB109">
        <v>3</v>
      </c>
      <c r="DC109" t="s">
        <v>132</v>
      </c>
      <c r="DD109" t="s">
        <v>133</v>
      </c>
      <c r="DG109">
        <v>8095127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0</v>
      </c>
      <c r="DO109">
        <v>0</v>
      </c>
      <c r="DP109">
        <v>1</v>
      </c>
      <c r="DQ109">
        <v>0</v>
      </c>
      <c r="DR109">
        <v>0</v>
      </c>
      <c r="DS109">
        <v>0</v>
      </c>
    </row>
    <row r="110" spans="1:123" x14ac:dyDescent="0.25">
      <c r="A110" t="str">
        <f>"11/29/2023 20:16:22.257"</f>
        <v>11/29/2023 20:16:22.257</v>
      </c>
      <c r="C110" t="str">
        <f t="shared" si="16"/>
        <v>FFDF53C0</v>
      </c>
      <c r="D110" t="s">
        <v>123</v>
      </c>
      <c r="E110">
        <v>1</v>
      </c>
      <c r="F110">
        <v>1001</v>
      </c>
      <c r="G110" t="s">
        <v>134</v>
      </c>
      <c r="J110" t="s">
        <v>125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"20:16:21.750"</f>
        <v>20:16:21.750</v>
      </c>
      <c r="T110" t="str">
        <f>"20:16:21.650"</f>
        <v>20:16:21.650</v>
      </c>
      <c r="U110" t="str">
        <f t="shared" si="13"/>
        <v>AA0632</v>
      </c>
      <c r="V110">
        <v>0</v>
      </c>
      <c r="W110">
        <v>0</v>
      </c>
      <c r="X110">
        <v>2</v>
      </c>
      <c r="Y110">
        <v>0</v>
      </c>
      <c r="AA110">
        <v>0</v>
      </c>
      <c r="AB110">
        <v>8</v>
      </c>
      <c r="AC110">
        <v>3</v>
      </c>
      <c r="AD110">
        <v>0</v>
      </c>
      <c r="AE110">
        <v>8</v>
      </c>
      <c r="AF110" t="s">
        <v>126</v>
      </c>
      <c r="AG110">
        <v>0</v>
      </c>
      <c r="AH110">
        <v>0</v>
      </c>
      <c r="AI110">
        <v>2</v>
      </c>
      <c r="AJ110">
        <v>0</v>
      </c>
      <c r="AK110" t="s">
        <v>204</v>
      </c>
      <c r="AL110">
        <v>31.961932000000001</v>
      </c>
      <c r="AM110" t="s">
        <v>205</v>
      </c>
      <c r="AN110">
        <v>-101.1343</v>
      </c>
      <c r="AQ110" t="s">
        <v>129</v>
      </c>
      <c r="AR110">
        <v>-90</v>
      </c>
      <c r="AS110">
        <v>4</v>
      </c>
      <c r="AT110">
        <v>64</v>
      </c>
      <c r="BB110" t="str">
        <f t="shared" si="14"/>
        <v>1200</v>
      </c>
      <c r="BC110">
        <v>1</v>
      </c>
      <c r="BD110" t="str">
        <f t="shared" si="17"/>
        <v xml:space="preserve">N745MB  </v>
      </c>
      <c r="BE110">
        <v>1</v>
      </c>
      <c r="BG110">
        <v>0</v>
      </c>
      <c r="BH110">
        <v>0</v>
      </c>
      <c r="BI110">
        <v>0</v>
      </c>
      <c r="BL110" t="s">
        <v>130</v>
      </c>
      <c r="BM110">
        <v>1</v>
      </c>
      <c r="BN110">
        <v>0</v>
      </c>
      <c r="BO110">
        <v>0</v>
      </c>
      <c r="BP110">
        <v>0</v>
      </c>
      <c r="BT110">
        <v>0</v>
      </c>
      <c r="BU110">
        <v>0</v>
      </c>
      <c r="CE110" t="str">
        <f>"20:16:21.754"</f>
        <v>20:16:21.754</v>
      </c>
      <c r="CF110">
        <v>753564881</v>
      </c>
      <c r="CS110">
        <v>0</v>
      </c>
      <c r="CT110">
        <v>1</v>
      </c>
      <c r="CU110">
        <v>0</v>
      </c>
      <c r="CV110">
        <v>2</v>
      </c>
      <c r="CW110">
        <v>0</v>
      </c>
      <c r="CX110">
        <v>2</v>
      </c>
      <c r="CY110">
        <v>7</v>
      </c>
      <c r="CZ110" t="s">
        <v>131</v>
      </c>
      <c r="DA110">
        <v>116</v>
      </c>
      <c r="DB110">
        <v>3</v>
      </c>
      <c r="DC110" t="s">
        <v>132</v>
      </c>
      <c r="DD110" t="s">
        <v>133</v>
      </c>
      <c r="DG110">
        <v>8095127</v>
      </c>
      <c r="DI110">
        <v>0</v>
      </c>
      <c r="DJ110">
        <v>0</v>
      </c>
      <c r="DK110">
        <v>1</v>
      </c>
      <c r="DL110">
        <v>0</v>
      </c>
      <c r="DM110">
        <v>0</v>
      </c>
      <c r="DN110">
        <v>0</v>
      </c>
      <c r="DO110">
        <v>0</v>
      </c>
      <c r="DP110">
        <v>1</v>
      </c>
      <c r="DQ110">
        <v>0</v>
      </c>
      <c r="DR110">
        <v>0</v>
      </c>
      <c r="DS110">
        <v>0</v>
      </c>
    </row>
    <row r="111" spans="1:123" x14ac:dyDescent="0.25">
      <c r="A111" t="str">
        <f>"11/29/2023 20:16:23.351"</f>
        <v>11/29/2023 20:16:23.351</v>
      </c>
      <c r="C111" t="str">
        <f t="shared" si="16"/>
        <v>FFDF53C0</v>
      </c>
      <c r="D111" t="s">
        <v>123</v>
      </c>
      <c r="E111">
        <v>14</v>
      </c>
      <c r="F111">
        <v>1014</v>
      </c>
      <c r="G111" t="s">
        <v>124</v>
      </c>
      <c r="J111" t="s">
        <v>125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"20:16:22.805"</f>
        <v>20:16:22.805</v>
      </c>
      <c r="T111" t="str">
        <f>"20:16:22.605"</f>
        <v>20:16:22.605</v>
      </c>
      <c r="U111" t="str">
        <f t="shared" si="13"/>
        <v>AA0632</v>
      </c>
      <c r="V111">
        <v>0</v>
      </c>
      <c r="W111">
        <v>0</v>
      </c>
      <c r="X111">
        <v>2</v>
      </c>
      <c r="Y111">
        <v>0</v>
      </c>
      <c r="AA111">
        <v>0</v>
      </c>
      <c r="AB111">
        <v>8</v>
      </c>
      <c r="AC111">
        <v>3</v>
      </c>
      <c r="AD111">
        <v>0</v>
      </c>
      <c r="AE111">
        <v>8</v>
      </c>
      <c r="AF111" t="s">
        <v>126</v>
      </c>
      <c r="AG111">
        <v>0</v>
      </c>
      <c r="AH111">
        <v>0</v>
      </c>
      <c r="AI111">
        <v>2</v>
      </c>
      <c r="AJ111">
        <v>0</v>
      </c>
      <c r="AK111" t="s">
        <v>204</v>
      </c>
      <c r="AL111">
        <v>31.961932000000001</v>
      </c>
      <c r="AM111" t="s">
        <v>206</v>
      </c>
      <c r="AN111">
        <v>-101.13485799999999</v>
      </c>
      <c r="AQ111" t="s">
        <v>129</v>
      </c>
      <c r="AR111">
        <v>-89</v>
      </c>
      <c r="AS111">
        <v>3</v>
      </c>
      <c r="AT111">
        <v>-64</v>
      </c>
      <c r="BB111" t="str">
        <f t="shared" si="14"/>
        <v>1200</v>
      </c>
      <c r="BC111">
        <v>1</v>
      </c>
      <c r="BD111" t="str">
        <f t="shared" si="17"/>
        <v xml:space="preserve">N745MB  </v>
      </c>
      <c r="BE111">
        <v>1</v>
      </c>
      <c r="BG111">
        <v>0</v>
      </c>
      <c r="BH111">
        <v>0</v>
      </c>
      <c r="BI111">
        <v>0</v>
      </c>
      <c r="BL111" t="s">
        <v>130</v>
      </c>
      <c r="BM111">
        <v>1</v>
      </c>
      <c r="BN111">
        <v>0</v>
      </c>
      <c r="BO111">
        <v>0</v>
      </c>
      <c r="BP111">
        <v>0</v>
      </c>
      <c r="BT111">
        <v>0</v>
      </c>
      <c r="BU111">
        <v>0</v>
      </c>
      <c r="CE111" t="str">
        <f>"20:16:22.811"</f>
        <v>20:16:22.811</v>
      </c>
      <c r="CF111">
        <v>811489831</v>
      </c>
      <c r="CS111">
        <v>0</v>
      </c>
      <c r="CT111">
        <v>1</v>
      </c>
      <c r="CU111">
        <v>0</v>
      </c>
      <c r="CV111">
        <v>2</v>
      </c>
      <c r="CW111">
        <v>0</v>
      </c>
      <c r="CX111">
        <v>2</v>
      </c>
      <c r="CY111">
        <v>7</v>
      </c>
      <c r="CZ111" t="s">
        <v>131</v>
      </c>
      <c r="DA111">
        <v>116</v>
      </c>
      <c r="DB111">
        <v>3</v>
      </c>
      <c r="DC111" t="s">
        <v>132</v>
      </c>
      <c r="DD111" t="s">
        <v>133</v>
      </c>
      <c r="DG111">
        <v>8095758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1</v>
      </c>
      <c r="DQ111">
        <v>0</v>
      </c>
      <c r="DR111">
        <v>0</v>
      </c>
      <c r="DS111">
        <v>0</v>
      </c>
    </row>
    <row r="112" spans="1:123" x14ac:dyDescent="0.25">
      <c r="A112" t="str">
        <f>"11/29/2023 20:16:23.351"</f>
        <v>11/29/2023 20:16:23.351</v>
      </c>
      <c r="C112" t="str">
        <f t="shared" si="16"/>
        <v>FFDF53C0</v>
      </c>
      <c r="D112" t="s">
        <v>138</v>
      </c>
      <c r="E112">
        <v>3</v>
      </c>
      <c r="H112">
        <v>160</v>
      </c>
      <c r="I112" t="s">
        <v>124</v>
      </c>
      <c r="J112" t="s">
        <v>139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"20:16:22.805"</f>
        <v>20:16:22.805</v>
      </c>
      <c r="T112" t="str">
        <f>"20:16:22.605"</f>
        <v>20:16:22.605</v>
      </c>
      <c r="U112" t="str">
        <f t="shared" si="13"/>
        <v>AA0632</v>
      </c>
      <c r="V112">
        <v>0</v>
      </c>
      <c r="W112">
        <v>0</v>
      </c>
      <c r="X112">
        <v>2</v>
      </c>
      <c r="Y112">
        <v>0</v>
      </c>
      <c r="AA112">
        <v>0</v>
      </c>
      <c r="AB112">
        <v>8</v>
      </c>
      <c r="AC112">
        <v>3</v>
      </c>
      <c r="AD112">
        <v>0</v>
      </c>
      <c r="AE112">
        <v>8</v>
      </c>
      <c r="AF112" t="s">
        <v>126</v>
      </c>
      <c r="AG112">
        <v>0</v>
      </c>
      <c r="AH112">
        <v>0</v>
      </c>
      <c r="AI112">
        <v>2</v>
      </c>
      <c r="AJ112">
        <v>0</v>
      </c>
      <c r="AK112" t="s">
        <v>204</v>
      </c>
      <c r="AL112">
        <v>31.961932000000001</v>
      </c>
      <c r="AM112" t="s">
        <v>206</v>
      </c>
      <c r="AN112">
        <v>-101.13485799999999</v>
      </c>
      <c r="AQ112" t="s">
        <v>129</v>
      </c>
      <c r="AR112">
        <v>-89</v>
      </c>
      <c r="AS112">
        <v>3</v>
      </c>
      <c r="AT112">
        <v>-64</v>
      </c>
      <c r="BB112" t="str">
        <f t="shared" si="14"/>
        <v>1200</v>
      </c>
      <c r="BC112">
        <v>1</v>
      </c>
      <c r="BD112" t="str">
        <f t="shared" si="17"/>
        <v xml:space="preserve">N745MB  </v>
      </c>
      <c r="BE112">
        <v>1</v>
      </c>
      <c r="BG112">
        <v>0</v>
      </c>
      <c r="BH112">
        <v>0</v>
      </c>
      <c r="BI112">
        <v>0</v>
      </c>
      <c r="BL112" t="s">
        <v>130</v>
      </c>
      <c r="BM112">
        <v>1</v>
      </c>
      <c r="BN112">
        <v>0</v>
      </c>
      <c r="BO112">
        <v>0</v>
      </c>
      <c r="BP112">
        <v>0</v>
      </c>
      <c r="BT112">
        <v>0</v>
      </c>
      <c r="BU112">
        <v>0</v>
      </c>
      <c r="CE112" t="str">
        <f>"20:16:22.811"</f>
        <v>20:16:22.811</v>
      </c>
      <c r="CF112">
        <v>811489831</v>
      </c>
      <c r="CS112">
        <v>0</v>
      </c>
      <c r="CT112">
        <v>1</v>
      </c>
      <c r="CU112">
        <v>0</v>
      </c>
      <c r="CV112">
        <v>2</v>
      </c>
      <c r="CW112">
        <v>0</v>
      </c>
      <c r="CX112">
        <v>2</v>
      </c>
      <c r="CY112">
        <v>7</v>
      </c>
      <c r="CZ112" t="s">
        <v>131</v>
      </c>
      <c r="DA112">
        <v>116</v>
      </c>
      <c r="DB112">
        <v>3</v>
      </c>
      <c r="DC112" t="s">
        <v>132</v>
      </c>
      <c r="DD112" t="s">
        <v>133</v>
      </c>
      <c r="DG112">
        <v>8095758</v>
      </c>
      <c r="DI112">
        <v>0</v>
      </c>
      <c r="DJ112">
        <v>0</v>
      </c>
      <c r="DK112">
        <v>1</v>
      </c>
      <c r="DL112">
        <v>0</v>
      </c>
      <c r="DM112">
        <v>0</v>
      </c>
      <c r="DN112">
        <v>0</v>
      </c>
      <c r="DO112">
        <v>0</v>
      </c>
      <c r="DP112">
        <v>1</v>
      </c>
      <c r="DQ112">
        <v>0</v>
      </c>
      <c r="DR112">
        <v>0</v>
      </c>
      <c r="DS112">
        <v>0</v>
      </c>
    </row>
    <row r="113" spans="1:123" x14ac:dyDescent="0.25">
      <c r="A113" t="str">
        <f>"11/29/2023 20:16:23.351"</f>
        <v>11/29/2023 20:16:23.351</v>
      </c>
      <c r="C113" t="str">
        <f t="shared" si="16"/>
        <v>FFDF53C0</v>
      </c>
      <c r="D113" t="s">
        <v>123</v>
      </c>
      <c r="E113">
        <v>1</v>
      </c>
      <c r="F113">
        <v>1001</v>
      </c>
      <c r="G113" t="s">
        <v>134</v>
      </c>
      <c r="J113" t="s">
        <v>125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"20:16:22.805"</f>
        <v>20:16:22.805</v>
      </c>
      <c r="T113" t="str">
        <f>"20:16:22.605"</f>
        <v>20:16:22.605</v>
      </c>
      <c r="U113" t="str">
        <f t="shared" si="13"/>
        <v>AA0632</v>
      </c>
      <c r="V113">
        <v>0</v>
      </c>
      <c r="W113">
        <v>0</v>
      </c>
      <c r="X113">
        <v>2</v>
      </c>
      <c r="Y113">
        <v>0</v>
      </c>
      <c r="AA113">
        <v>0</v>
      </c>
      <c r="AB113">
        <v>8</v>
      </c>
      <c r="AC113">
        <v>3</v>
      </c>
      <c r="AD113">
        <v>0</v>
      </c>
      <c r="AE113">
        <v>8</v>
      </c>
      <c r="AF113" t="s">
        <v>126</v>
      </c>
      <c r="AG113">
        <v>0</v>
      </c>
      <c r="AH113">
        <v>0</v>
      </c>
      <c r="AI113">
        <v>2</v>
      </c>
      <c r="AJ113">
        <v>0</v>
      </c>
      <c r="AK113" t="s">
        <v>204</v>
      </c>
      <c r="AL113">
        <v>31.961932000000001</v>
      </c>
      <c r="AM113" t="s">
        <v>206</v>
      </c>
      <c r="AN113">
        <v>-101.13485799999999</v>
      </c>
      <c r="AQ113" t="s">
        <v>129</v>
      </c>
      <c r="AR113">
        <v>-89</v>
      </c>
      <c r="AS113">
        <v>3</v>
      </c>
      <c r="AT113">
        <v>-64</v>
      </c>
      <c r="BB113" t="str">
        <f t="shared" si="14"/>
        <v>1200</v>
      </c>
      <c r="BC113">
        <v>1</v>
      </c>
      <c r="BD113" t="str">
        <f t="shared" si="17"/>
        <v xml:space="preserve">N745MB  </v>
      </c>
      <c r="BE113">
        <v>1</v>
      </c>
      <c r="BG113">
        <v>0</v>
      </c>
      <c r="BH113">
        <v>0</v>
      </c>
      <c r="BI113">
        <v>0</v>
      </c>
      <c r="BL113" t="s">
        <v>130</v>
      </c>
      <c r="BM113">
        <v>1</v>
      </c>
      <c r="BN113">
        <v>0</v>
      </c>
      <c r="BO113">
        <v>0</v>
      </c>
      <c r="BP113">
        <v>0</v>
      </c>
      <c r="BT113">
        <v>0</v>
      </c>
      <c r="BU113">
        <v>0</v>
      </c>
      <c r="CE113" t="str">
        <f>"20:16:22.811"</f>
        <v>20:16:22.811</v>
      </c>
      <c r="CF113">
        <v>811489831</v>
      </c>
      <c r="CS113">
        <v>0</v>
      </c>
      <c r="CT113">
        <v>1</v>
      </c>
      <c r="CU113">
        <v>0</v>
      </c>
      <c r="CV113">
        <v>2</v>
      </c>
      <c r="CW113">
        <v>0</v>
      </c>
      <c r="CX113">
        <v>2</v>
      </c>
      <c r="CY113">
        <v>7</v>
      </c>
      <c r="CZ113" t="s">
        <v>131</v>
      </c>
      <c r="DA113">
        <v>116</v>
      </c>
      <c r="DB113">
        <v>3</v>
      </c>
      <c r="DC113" t="s">
        <v>132</v>
      </c>
      <c r="DD113" t="s">
        <v>133</v>
      </c>
      <c r="DG113">
        <v>8095758</v>
      </c>
      <c r="DI113">
        <v>0</v>
      </c>
      <c r="DJ113">
        <v>0</v>
      </c>
      <c r="DK113">
        <v>1</v>
      </c>
      <c r="DL113">
        <v>0</v>
      </c>
      <c r="DM113">
        <v>0</v>
      </c>
      <c r="DN113">
        <v>0</v>
      </c>
      <c r="DO113">
        <v>0</v>
      </c>
      <c r="DP113">
        <v>1</v>
      </c>
      <c r="DQ113">
        <v>0</v>
      </c>
      <c r="DR113">
        <v>0</v>
      </c>
      <c r="DS113">
        <v>0</v>
      </c>
    </row>
    <row r="114" spans="1:123" x14ac:dyDescent="0.25">
      <c r="A114" t="str">
        <f>"11/29/2023 20:16:23.351"</f>
        <v>11/29/2023 20:16:23.351</v>
      </c>
      <c r="C114" t="str">
        <f t="shared" ref="C114:C145" si="19">"FFDF53C0"</f>
        <v>FFDF53C0</v>
      </c>
      <c r="D114" t="s">
        <v>135</v>
      </c>
      <c r="E114">
        <v>31</v>
      </c>
      <c r="H114">
        <v>285</v>
      </c>
      <c r="I114" t="s">
        <v>136</v>
      </c>
      <c r="J114" t="s">
        <v>137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"20:16:22.805"</f>
        <v>20:16:22.805</v>
      </c>
      <c r="T114" t="str">
        <f>"20:16:22.605"</f>
        <v>20:16:22.605</v>
      </c>
      <c r="U114" t="str">
        <f t="shared" si="13"/>
        <v>AA0632</v>
      </c>
      <c r="V114">
        <v>0</v>
      </c>
      <c r="W114">
        <v>0</v>
      </c>
      <c r="X114">
        <v>2</v>
      </c>
      <c r="Y114">
        <v>0</v>
      </c>
      <c r="AA114">
        <v>0</v>
      </c>
      <c r="AB114">
        <v>8</v>
      </c>
      <c r="AC114">
        <v>3</v>
      </c>
      <c r="AD114">
        <v>0</v>
      </c>
      <c r="AE114">
        <v>8</v>
      </c>
      <c r="AF114" t="s">
        <v>126</v>
      </c>
      <c r="AG114">
        <v>0</v>
      </c>
      <c r="AH114">
        <v>0</v>
      </c>
      <c r="AI114">
        <v>2</v>
      </c>
      <c r="AJ114">
        <v>0</v>
      </c>
      <c r="AK114" t="s">
        <v>204</v>
      </c>
      <c r="AL114">
        <v>31.961932000000001</v>
      </c>
      <c r="AM114" t="s">
        <v>206</v>
      </c>
      <c r="AN114">
        <v>-101.13485799999999</v>
      </c>
      <c r="AQ114" t="s">
        <v>129</v>
      </c>
      <c r="AR114">
        <v>-89</v>
      </c>
      <c r="AS114">
        <v>3</v>
      </c>
      <c r="AT114">
        <v>-64</v>
      </c>
      <c r="BB114" t="str">
        <f t="shared" si="14"/>
        <v>1200</v>
      </c>
      <c r="BC114">
        <v>1</v>
      </c>
      <c r="BD114" t="str">
        <f t="shared" si="17"/>
        <v xml:space="preserve">N745MB  </v>
      </c>
      <c r="BE114">
        <v>1</v>
      </c>
      <c r="BG114">
        <v>0</v>
      </c>
      <c r="BH114">
        <v>0</v>
      </c>
      <c r="BI114">
        <v>0</v>
      </c>
      <c r="BL114" t="s">
        <v>130</v>
      </c>
      <c r="BM114">
        <v>1</v>
      </c>
      <c r="BN114">
        <v>0</v>
      </c>
      <c r="BO114">
        <v>0</v>
      </c>
      <c r="BP114">
        <v>0</v>
      </c>
      <c r="BT114">
        <v>0</v>
      </c>
      <c r="BU114">
        <v>0</v>
      </c>
      <c r="CE114" t="str">
        <f>"20:16:22.811"</f>
        <v>20:16:22.811</v>
      </c>
      <c r="CF114">
        <v>811489831</v>
      </c>
      <c r="CS114">
        <v>0</v>
      </c>
      <c r="CT114">
        <v>1</v>
      </c>
      <c r="CU114">
        <v>0</v>
      </c>
      <c r="CV114">
        <v>2</v>
      </c>
      <c r="CW114">
        <v>0</v>
      </c>
      <c r="CX114">
        <v>2</v>
      </c>
      <c r="CY114">
        <v>7</v>
      </c>
      <c r="CZ114" t="s">
        <v>131</v>
      </c>
      <c r="DA114">
        <v>116</v>
      </c>
      <c r="DB114">
        <v>3</v>
      </c>
      <c r="DC114" t="s">
        <v>132</v>
      </c>
      <c r="DD114" t="s">
        <v>133</v>
      </c>
      <c r="DG114">
        <v>8095758</v>
      </c>
      <c r="DI114">
        <v>0</v>
      </c>
      <c r="DJ114">
        <v>0</v>
      </c>
      <c r="DK114">
        <v>1</v>
      </c>
      <c r="DL114">
        <v>0</v>
      </c>
      <c r="DM114">
        <v>0</v>
      </c>
      <c r="DN114">
        <v>0</v>
      </c>
      <c r="DO114">
        <v>0</v>
      </c>
      <c r="DP114">
        <v>1</v>
      </c>
      <c r="DQ114">
        <v>0</v>
      </c>
      <c r="DR114">
        <v>0</v>
      </c>
      <c r="DS114">
        <v>0</v>
      </c>
    </row>
    <row r="115" spans="1:123" x14ac:dyDescent="0.25">
      <c r="A115" t="str">
        <f>"11/29/2023 20:16:24.366"</f>
        <v>11/29/2023 20:16:24.366</v>
      </c>
      <c r="C115" t="str">
        <f t="shared" si="19"/>
        <v>FFDF53C0</v>
      </c>
      <c r="D115" t="s">
        <v>123</v>
      </c>
      <c r="E115">
        <v>14</v>
      </c>
      <c r="F115">
        <v>1014</v>
      </c>
      <c r="G115" t="s">
        <v>124</v>
      </c>
      <c r="J115" t="s">
        <v>125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 t="shared" ref="S115:T118" si="20">"20:16:23.992"</f>
        <v>20:16:23.992</v>
      </c>
      <c r="T115" t="str">
        <f t="shared" si="20"/>
        <v>20:16:23.992</v>
      </c>
      <c r="U115" t="str">
        <f t="shared" si="13"/>
        <v>AA0632</v>
      </c>
      <c r="V115">
        <v>0</v>
      </c>
      <c r="W115">
        <v>0</v>
      </c>
      <c r="X115">
        <v>2</v>
      </c>
      <c r="Y115">
        <v>0</v>
      </c>
      <c r="AA115">
        <v>0</v>
      </c>
      <c r="AB115">
        <v>8</v>
      </c>
      <c r="AC115">
        <v>3</v>
      </c>
      <c r="AD115">
        <v>0</v>
      </c>
      <c r="AE115">
        <v>8</v>
      </c>
      <c r="AF115" t="s">
        <v>126</v>
      </c>
      <c r="AG115">
        <v>0</v>
      </c>
      <c r="AH115">
        <v>0</v>
      </c>
      <c r="AI115">
        <v>2</v>
      </c>
      <c r="AJ115">
        <v>0</v>
      </c>
      <c r="AK115" t="s">
        <v>204</v>
      </c>
      <c r="AL115">
        <v>31.961932000000001</v>
      </c>
      <c r="AM115" t="s">
        <v>207</v>
      </c>
      <c r="AN115">
        <v>-101.135373</v>
      </c>
      <c r="AQ115" t="s">
        <v>129</v>
      </c>
      <c r="AR115">
        <v>-89</v>
      </c>
      <c r="AS115">
        <v>0</v>
      </c>
      <c r="AT115">
        <v>192</v>
      </c>
      <c r="BB115" t="str">
        <f t="shared" si="14"/>
        <v>1200</v>
      </c>
      <c r="BC115">
        <v>1</v>
      </c>
      <c r="BD115" t="str">
        <f t="shared" si="17"/>
        <v xml:space="preserve">N745MB  </v>
      </c>
      <c r="BE115">
        <v>1</v>
      </c>
      <c r="BG115">
        <v>0</v>
      </c>
      <c r="BH115">
        <v>0</v>
      </c>
      <c r="BI115">
        <v>0</v>
      </c>
      <c r="BL115" t="s">
        <v>130</v>
      </c>
      <c r="BM115">
        <v>1</v>
      </c>
      <c r="BN115">
        <v>0</v>
      </c>
      <c r="BO115">
        <v>0</v>
      </c>
      <c r="BP115">
        <v>0</v>
      </c>
      <c r="BT115">
        <v>0</v>
      </c>
      <c r="BU115">
        <v>0</v>
      </c>
      <c r="CE115" t="str">
        <f>"20:16:23.993"</f>
        <v>20:16:23.993</v>
      </c>
      <c r="CF115">
        <v>993410353</v>
      </c>
      <c r="CS115">
        <v>0</v>
      </c>
      <c r="CT115">
        <v>1</v>
      </c>
      <c r="CU115">
        <v>0</v>
      </c>
      <c r="CV115">
        <v>2</v>
      </c>
      <c r="CW115">
        <v>0</v>
      </c>
      <c r="CX115">
        <v>2</v>
      </c>
      <c r="CY115">
        <v>7</v>
      </c>
      <c r="CZ115" t="s">
        <v>131</v>
      </c>
      <c r="DA115">
        <v>116</v>
      </c>
      <c r="DB115">
        <v>3</v>
      </c>
      <c r="DC115" t="s">
        <v>132</v>
      </c>
      <c r="DD115" t="s">
        <v>133</v>
      </c>
      <c r="DG115">
        <v>8096389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1</v>
      </c>
      <c r="DQ115">
        <v>0</v>
      </c>
      <c r="DR115">
        <v>0</v>
      </c>
      <c r="DS115">
        <v>0</v>
      </c>
    </row>
    <row r="116" spans="1:123" x14ac:dyDescent="0.25">
      <c r="A116" t="str">
        <f>"11/29/2023 20:16:24.366"</f>
        <v>11/29/2023 20:16:24.366</v>
      </c>
      <c r="C116" t="str">
        <f t="shared" si="19"/>
        <v>FFDF53C0</v>
      </c>
      <c r="D116" t="s">
        <v>138</v>
      </c>
      <c r="E116">
        <v>3</v>
      </c>
      <c r="H116">
        <v>160</v>
      </c>
      <c r="I116" t="s">
        <v>124</v>
      </c>
      <c r="J116" t="s">
        <v>139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 t="shared" si="20"/>
        <v>20:16:23.992</v>
      </c>
      <c r="T116" t="str">
        <f t="shared" si="20"/>
        <v>20:16:23.992</v>
      </c>
      <c r="U116" t="str">
        <f t="shared" si="13"/>
        <v>AA0632</v>
      </c>
      <c r="V116">
        <v>0</v>
      </c>
      <c r="W116">
        <v>0</v>
      </c>
      <c r="X116">
        <v>2</v>
      </c>
      <c r="Y116">
        <v>0</v>
      </c>
      <c r="AA116">
        <v>0</v>
      </c>
      <c r="AB116">
        <v>8</v>
      </c>
      <c r="AC116">
        <v>3</v>
      </c>
      <c r="AD116">
        <v>0</v>
      </c>
      <c r="AE116">
        <v>8</v>
      </c>
      <c r="AF116" t="s">
        <v>126</v>
      </c>
      <c r="AG116">
        <v>0</v>
      </c>
      <c r="AH116">
        <v>0</v>
      </c>
      <c r="AI116">
        <v>2</v>
      </c>
      <c r="AJ116">
        <v>0</v>
      </c>
      <c r="AK116" t="s">
        <v>204</v>
      </c>
      <c r="AL116">
        <v>31.961932000000001</v>
      </c>
      <c r="AM116" t="s">
        <v>207</v>
      </c>
      <c r="AN116">
        <v>-101.135373</v>
      </c>
      <c r="AQ116" t="s">
        <v>129</v>
      </c>
      <c r="AR116">
        <v>-89</v>
      </c>
      <c r="AS116">
        <v>0</v>
      </c>
      <c r="AT116">
        <v>192</v>
      </c>
      <c r="BB116" t="str">
        <f t="shared" si="14"/>
        <v>1200</v>
      </c>
      <c r="BC116">
        <v>1</v>
      </c>
      <c r="BD116" t="str">
        <f t="shared" si="17"/>
        <v xml:space="preserve">N745MB  </v>
      </c>
      <c r="BE116">
        <v>1</v>
      </c>
      <c r="BG116">
        <v>0</v>
      </c>
      <c r="BH116">
        <v>0</v>
      </c>
      <c r="BI116">
        <v>0</v>
      </c>
      <c r="BL116" t="s">
        <v>130</v>
      </c>
      <c r="BM116">
        <v>1</v>
      </c>
      <c r="BN116">
        <v>0</v>
      </c>
      <c r="BO116">
        <v>0</v>
      </c>
      <c r="BP116">
        <v>0</v>
      </c>
      <c r="BT116">
        <v>0</v>
      </c>
      <c r="BU116">
        <v>0</v>
      </c>
      <c r="CE116" t="str">
        <f>"20:16:23.993"</f>
        <v>20:16:23.993</v>
      </c>
      <c r="CF116">
        <v>993410353</v>
      </c>
      <c r="CS116">
        <v>0</v>
      </c>
      <c r="CT116">
        <v>1</v>
      </c>
      <c r="CU116">
        <v>0</v>
      </c>
      <c r="CV116">
        <v>2</v>
      </c>
      <c r="CW116">
        <v>0</v>
      </c>
      <c r="CX116">
        <v>2</v>
      </c>
      <c r="CY116">
        <v>7</v>
      </c>
      <c r="CZ116" t="s">
        <v>131</v>
      </c>
      <c r="DA116">
        <v>116</v>
      </c>
      <c r="DB116">
        <v>3</v>
      </c>
      <c r="DC116" t="s">
        <v>132</v>
      </c>
      <c r="DD116" t="s">
        <v>133</v>
      </c>
      <c r="DG116">
        <v>8096389</v>
      </c>
      <c r="DI116">
        <v>0</v>
      </c>
      <c r="DJ116">
        <v>0</v>
      </c>
      <c r="DK116">
        <v>1</v>
      </c>
      <c r="DL116">
        <v>0</v>
      </c>
      <c r="DM116">
        <v>0</v>
      </c>
      <c r="DN116">
        <v>0</v>
      </c>
      <c r="DO116">
        <v>0</v>
      </c>
      <c r="DP116">
        <v>1</v>
      </c>
      <c r="DQ116">
        <v>0</v>
      </c>
      <c r="DR116">
        <v>0</v>
      </c>
      <c r="DS116">
        <v>0</v>
      </c>
    </row>
    <row r="117" spans="1:123" x14ac:dyDescent="0.25">
      <c r="A117" t="str">
        <f>"11/29/2023 20:16:24.366"</f>
        <v>11/29/2023 20:16:24.366</v>
      </c>
      <c r="C117" t="str">
        <f t="shared" si="19"/>
        <v>FFDF53C0</v>
      </c>
      <c r="D117" t="s">
        <v>123</v>
      </c>
      <c r="E117">
        <v>1</v>
      </c>
      <c r="F117">
        <v>1001</v>
      </c>
      <c r="G117" t="s">
        <v>134</v>
      </c>
      <c r="J117" t="s">
        <v>125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 t="shared" si="20"/>
        <v>20:16:23.992</v>
      </c>
      <c r="T117" t="str">
        <f t="shared" si="20"/>
        <v>20:16:23.992</v>
      </c>
      <c r="U117" t="str">
        <f t="shared" si="13"/>
        <v>AA0632</v>
      </c>
      <c r="V117">
        <v>0</v>
      </c>
      <c r="W117">
        <v>0</v>
      </c>
      <c r="X117">
        <v>2</v>
      </c>
      <c r="Y117">
        <v>0</v>
      </c>
      <c r="AA117">
        <v>0</v>
      </c>
      <c r="AB117">
        <v>8</v>
      </c>
      <c r="AC117">
        <v>3</v>
      </c>
      <c r="AD117">
        <v>0</v>
      </c>
      <c r="AE117">
        <v>8</v>
      </c>
      <c r="AF117" t="s">
        <v>126</v>
      </c>
      <c r="AG117">
        <v>0</v>
      </c>
      <c r="AH117">
        <v>0</v>
      </c>
      <c r="AI117">
        <v>2</v>
      </c>
      <c r="AJ117">
        <v>0</v>
      </c>
      <c r="AK117" t="s">
        <v>204</v>
      </c>
      <c r="AL117">
        <v>31.961932000000001</v>
      </c>
      <c r="AM117" t="s">
        <v>207</v>
      </c>
      <c r="AN117">
        <v>-101.135373</v>
      </c>
      <c r="AQ117" t="s">
        <v>129</v>
      </c>
      <c r="AR117">
        <v>-89</v>
      </c>
      <c r="AS117">
        <v>0</v>
      </c>
      <c r="AT117">
        <v>192</v>
      </c>
      <c r="BB117" t="str">
        <f t="shared" si="14"/>
        <v>1200</v>
      </c>
      <c r="BC117">
        <v>1</v>
      </c>
      <c r="BD117" t="str">
        <f t="shared" si="17"/>
        <v xml:space="preserve">N745MB  </v>
      </c>
      <c r="BE117">
        <v>1</v>
      </c>
      <c r="BG117">
        <v>0</v>
      </c>
      <c r="BH117">
        <v>0</v>
      </c>
      <c r="BI117">
        <v>0</v>
      </c>
      <c r="BL117" t="s">
        <v>130</v>
      </c>
      <c r="BM117">
        <v>1</v>
      </c>
      <c r="BN117">
        <v>0</v>
      </c>
      <c r="BO117">
        <v>0</v>
      </c>
      <c r="BP117">
        <v>0</v>
      </c>
      <c r="BT117">
        <v>0</v>
      </c>
      <c r="BU117">
        <v>0</v>
      </c>
      <c r="CE117" t="str">
        <f>"20:16:23.993"</f>
        <v>20:16:23.993</v>
      </c>
      <c r="CF117">
        <v>993410353</v>
      </c>
      <c r="CS117">
        <v>0</v>
      </c>
      <c r="CT117">
        <v>1</v>
      </c>
      <c r="CU117">
        <v>0</v>
      </c>
      <c r="CV117">
        <v>2</v>
      </c>
      <c r="CW117">
        <v>0</v>
      </c>
      <c r="CX117">
        <v>2</v>
      </c>
      <c r="CY117">
        <v>7</v>
      </c>
      <c r="CZ117" t="s">
        <v>131</v>
      </c>
      <c r="DA117">
        <v>116</v>
      </c>
      <c r="DB117">
        <v>3</v>
      </c>
      <c r="DC117" t="s">
        <v>132</v>
      </c>
      <c r="DD117" t="s">
        <v>133</v>
      </c>
      <c r="DG117">
        <v>8096389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0</v>
      </c>
      <c r="DO117">
        <v>0</v>
      </c>
      <c r="DP117">
        <v>1</v>
      </c>
      <c r="DQ117">
        <v>0</v>
      </c>
      <c r="DR117">
        <v>0</v>
      </c>
      <c r="DS117">
        <v>0</v>
      </c>
    </row>
    <row r="118" spans="1:123" x14ac:dyDescent="0.25">
      <c r="A118" t="str">
        <f>"11/29/2023 20:16:24.398"</f>
        <v>11/29/2023 20:16:24.398</v>
      </c>
      <c r="C118" t="str">
        <f t="shared" si="19"/>
        <v>FFDF53C0</v>
      </c>
      <c r="D118" t="s">
        <v>135</v>
      </c>
      <c r="E118">
        <v>31</v>
      </c>
      <c r="H118">
        <v>285</v>
      </c>
      <c r="I118" t="s">
        <v>136</v>
      </c>
      <c r="J118" t="s">
        <v>137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 t="shared" si="20"/>
        <v>20:16:23.992</v>
      </c>
      <c r="T118" t="str">
        <f t="shared" si="20"/>
        <v>20:16:23.992</v>
      </c>
      <c r="U118" t="str">
        <f t="shared" si="13"/>
        <v>AA0632</v>
      </c>
      <c r="V118">
        <v>0</v>
      </c>
      <c r="W118">
        <v>0</v>
      </c>
      <c r="X118">
        <v>2</v>
      </c>
      <c r="Y118">
        <v>0</v>
      </c>
      <c r="AA118">
        <v>0</v>
      </c>
      <c r="AB118">
        <v>8</v>
      </c>
      <c r="AC118">
        <v>3</v>
      </c>
      <c r="AD118">
        <v>0</v>
      </c>
      <c r="AE118">
        <v>8</v>
      </c>
      <c r="AF118" t="s">
        <v>126</v>
      </c>
      <c r="AG118">
        <v>0</v>
      </c>
      <c r="AH118">
        <v>0</v>
      </c>
      <c r="AI118">
        <v>2</v>
      </c>
      <c r="AJ118">
        <v>0</v>
      </c>
      <c r="AK118" t="s">
        <v>204</v>
      </c>
      <c r="AL118">
        <v>31.961932000000001</v>
      </c>
      <c r="AM118" t="s">
        <v>207</v>
      </c>
      <c r="AN118">
        <v>-101.135373</v>
      </c>
      <c r="AQ118" t="s">
        <v>129</v>
      </c>
      <c r="AR118">
        <v>-89</v>
      </c>
      <c r="AS118">
        <v>0</v>
      </c>
      <c r="AT118">
        <v>192</v>
      </c>
      <c r="BB118" t="str">
        <f t="shared" si="14"/>
        <v>1200</v>
      </c>
      <c r="BC118">
        <v>1</v>
      </c>
      <c r="BD118" t="str">
        <f t="shared" si="17"/>
        <v xml:space="preserve">N745MB  </v>
      </c>
      <c r="BE118">
        <v>1</v>
      </c>
      <c r="BG118">
        <v>0</v>
      </c>
      <c r="BH118">
        <v>0</v>
      </c>
      <c r="BI118">
        <v>0</v>
      </c>
      <c r="BL118" t="s">
        <v>130</v>
      </c>
      <c r="BM118">
        <v>1</v>
      </c>
      <c r="BN118">
        <v>0</v>
      </c>
      <c r="BO118">
        <v>0</v>
      </c>
      <c r="BP118">
        <v>0</v>
      </c>
      <c r="BT118">
        <v>0</v>
      </c>
      <c r="BU118">
        <v>0</v>
      </c>
      <c r="CE118" t="str">
        <f>"20:16:23.993"</f>
        <v>20:16:23.993</v>
      </c>
      <c r="CF118">
        <v>993410353</v>
      </c>
      <c r="CS118">
        <v>0</v>
      </c>
      <c r="CT118">
        <v>1</v>
      </c>
      <c r="CU118">
        <v>0</v>
      </c>
      <c r="CV118">
        <v>2</v>
      </c>
      <c r="CW118">
        <v>0</v>
      </c>
      <c r="CX118">
        <v>2</v>
      </c>
      <c r="CY118">
        <v>7</v>
      </c>
      <c r="CZ118" t="s">
        <v>131</v>
      </c>
      <c r="DA118">
        <v>116</v>
      </c>
      <c r="DB118">
        <v>3</v>
      </c>
      <c r="DC118" t="s">
        <v>132</v>
      </c>
      <c r="DD118" t="s">
        <v>133</v>
      </c>
      <c r="DG118">
        <v>8096389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0</v>
      </c>
      <c r="DO118">
        <v>0</v>
      </c>
      <c r="DP118">
        <v>1</v>
      </c>
      <c r="DQ118">
        <v>0</v>
      </c>
      <c r="DR118">
        <v>0</v>
      </c>
      <c r="DS118">
        <v>0</v>
      </c>
    </row>
    <row r="119" spans="1:123" x14ac:dyDescent="0.25">
      <c r="A119" t="str">
        <f>"11/29/2023 20:16:25.773"</f>
        <v>11/29/2023 20:16:25.773</v>
      </c>
      <c r="C119" t="str">
        <f t="shared" si="19"/>
        <v>FFDF53C0</v>
      </c>
      <c r="D119" t="s">
        <v>135</v>
      </c>
      <c r="E119">
        <v>31</v>
      </c>
      <c r="H119">
        <v>285</v>
      </c>
      <c r="I119" t="s">
        <v>136</v>
      </c>
      <c r="J119" t="s">
        <v>137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"20:16:25.422"</f>
        <v>20:16:25.422</v>
      </c>
      <c r="T119" t="str">
        <f>"20:16:25.022"</f>
        <v>20:16:25.022</v>
      </c>
      <c r="U119" t="str">
        <f t="shared" si="13"/>
        <v>AA0632</v>
      </c>
      <c r="V119">
        <v>0</v>
      </c>
      <c r="W119">
        <v>0</v>
      </c>
      <c r="X119">
        <v>2</v>
      </c>
      <c r="Y119">
        <v>0</v>
      </c>
      <c r="AA119">
        <v>0</v>
      </c>
      <c r="AB119">
        <v>8</v>
      </c>
      <c r="AC119">
        <v>3</v>
      </c>
      <c r="AD119">
        <v>0</v>
      </c>
      <c r="AE119">
        <v>8</v>
      </c>
      <c r="AF119" t="s">
        <v>126</v>
      </c>
      <c r="AG119">
        <v>0</v>
      </c>
      <c r="AH119">
        <v>0</v>
      </c>
      <c r="AI119">
        <v>2</v>
      </c>
      <c r="AJ119">
        <v>0</v>
      </c>
      <c r="AK119" t="s">
        <v>204</v>
      </c>
      <c r="AL119">
        <v>31.961932000000001</v>
      </c>
      <c r="AM119" t="s">
        <v>208</v>
      </c>
      <c r="AN119">
        <v>-101.136124</v>
      </c>
      <c r="AQ119" t="s">
        <v>129</v>
      </c>
      <c r="AR119">
        <v>-89</v>
      </c>
      <c r="AS119">
        <v>-1</v>
      </c>
      <c r="AT119">
        <v>0</v>
      </c>
      <c r="BB119" t="str">
        <f t="shared" si="14"/>
        <v>1200</v>
      </c>
      <c r="BC119">
        <v>1</v>
      </c>
      <c r="BD119" t="str">
        <f t="shared" si="17"/>
        <v xml:space="preserve">N745MB  </v>
      </c>
      <c r="BE119">
        <v>1</v>
      </c>
      <c r="BG119">
        <v>0</v>
      </c>
      <c r="BH119">
        <v>0</v>
      </c>
      <c r="BI119">
        <v>0</v>
      </c>
      <c r="BL119" t="s">
        <v>130</v>
      </c>
      <c r="BM119">
        <v>1</v>
      </c>
      <c r="BN119">
        <v>0</v>
      </c>
      <c r="BO119">
        <v>0</v>
      </c>
      <c r="BP119">
        <v>0</v>
      </c>
      <c r="BT119">
        <v>0</v>
      </c>
      <c r="BU119">
        <v>0</v>
      </c>
      <c r="CE119" t="str">
        <f>"20:16:25.427"</f>
        <v>20:16:25.427</v>
      </c>
      <c r="CF119">
        <v>427309449</v>
      </c>
      <c r="CS119">
        <v>0</v>
      </c>
      <c r="CT119">
        <v>1</v>
      </c>
      <c r="CU119">
        <v>0</v>
      </c>
      <c r="CV119">
        <v>2</v>
      </c>
      <c r="CW119">
        <v>0</v>
      </c>
      <c r="CX119">
        <v>3</v>
      </c>
      <c r="CY119">
        <v>7</v>
      </c>
      <c r="CZ119" t="s">
        <v>131</v>
      </c>
      <c r="DA119">
        <v>116</v>
      </c>
      <c r="DB119">
        <v>3</v>
      </c>
      <c r="DC119" t="s">
        <v>132</v>
      </c>
      <c r="DD119" t="s">
        <v>133</v>
      </c>
      <c r="DG119">
        <v>8097208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1</v>
      </c>
      <c r="DQ119">
        <v>0</v>
      </c>
      <c r="DR119">
        <v>0</v>
      </c>
      <c r="DS119">
        <v>0</v>
      </c>
    </row>
    <row r="120" spans="1:123" x14ac:dyDescent="0.25">
      <c r="A120" t="str">
        <f>"11/29/2023 20:16:25.773"</f>
        <v>11/29/2023 20:16:25.773</v>
      </c>
      <c r="C120" t="str">
        <f t="shared" si="19"/>
        <v>FFDF53C0</v>
      </c>
      <c r="D120" t="s">
        <v>123</v>
      </c>
      <c r="E120">
        <v>14</v>
      </c>
      <c r="F120">
        <v>1014</v>
      </c>
      <c r="G120" t="s">
        <v>124</v>
      </c>
      <c r="J120" t="s">
        <v>125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"20:16:25.422"</f>
        <v>20:16:25.422</v>
      </c>
      <c r="T120" t="str">
        <f>"20:16:25.022"</f>
        <v>20:16:25.022</v>
      </c>
      <c r="U120" t="str">
        <f t="shared" si="13"/>
        <v>AA0632</v>
      </c>
      <c r="V120">
        <v>0</v>
      </c>
      <c r="W120">
        <v>0</v>
      </c>
      <c r="X120">
        <v>2</v>
      </c>
      <c r="Y120">
        <v>0</v>
      </c>
      <c r="AA120">
        <v>0</v>
      </c>
      <c r="AB120">
        <v>8</v>
      </c>
      <c r="AC120">
        <v>3</v>
      </c>
      <c r="AD120">
        <v>0</v>
      </c>
      <c r="AE120">
        <v>8</v>
      </c>
      <c r="AF120" t="s">
        <v>126</v>
      </c>
      <c r="AG120">
        <v>0</v>
      </c>
      <c r="AH120">
        <v>0</v>
      </c>
      <c r="AI120">
        <v>2</v>
      </c>
      <c r="AJ120">
        <v>0</v>
      </c>
      <c r="AK120" t="s">
        <v>204</v>
      </c>
      <c r="AL120">
        <v>31.961932000000001</v>
      </c>
      <c r="AM120" t="s">
        <v>208</v>
      </c>
      <c r="AN120">
        <v>-101.136124</v>
      </c>
      <c r="AQ120" t="s">
        <v>129</v>
      </c>
      <c r="AR120">
        <v>-89</v>
      </c>
      <c r="AS120">
        <v>-1</v>
      </c>
      <c r="AT120">
        <v>0</v>
      </c>
      <c r="BB120" t="str">
        <f t="shared" si="14"/>
        <v>1200</v>
      </c>
      <c r="BC120">
        <v>1</v>
      </c>
      <c r="BD120" t="str">
        <f t="shared" si="17"/>
        <v xml:space="preserve">N745MB  </v>
      </c>
      <c r="BE120">
        <v>1</v>
      </c>
      <c r="BG120">
        <v>0</v>
      </c>
      <c r="BH120">
        <v>0</v>
      </c>
      <c r="BI120">
        <v>0</v>
      </c>
      <c r="BL120" t="s">
        <v>130</v>
      </c>
      <c r="BM120">
        <v>1</v>
      </c>
      <c r="BN120">
        <v>0</v>
      </c>
      <c r="BO120">
        <v>0</v>
      </c>
      <c r="BP120">
        <v>0</v>
      </c>
      <c r="BT120">
        <v>0</v>
      </c>
      <c r="BU120">
        <v>0</v>
      </c>
      <c r="CE120" t="str">
        <f>"20:16:25.427"</f>
        <v>20:16:25.427</v>
      </c>
      <c r="CF120">
        <v>427309449</v>
      </c>
      <c r="CS120">
        <v>0</v>
      </c>
      <c r="CT120">
        <v>1</v>
      </c>
      <c r="CU120">
        <v>0</v>
      </c>
      <c r="CV120">
        <v>2</v>
      </c>
      <c r="CW120">
        <v>0</v>
      </c>
      <c r="CX120">
        <v>3</v>
      </c>
      <c r="CY120">
        <v>7</v>
      </c>
      <c r="CZ120" t="s">
        <v>131</v>
      </c>
      <c r="DA120">
        <v>116</v>
      </c>
      <c r="DB120">
        <v>3</v>
      </c>
      <c r="DC120" t="s">
        <v>132</v>
      </c>
      <c r="DD120" t="s">
        <v>133</v>
      </c>
      <c r="DG120">
        <v>8097208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1</v>
      </c>
      <c r="DQ120">
        <v>0</v>
      </c>
      <c r="DR120">
        <v>0</v>
      </c>
      <c r="DS120">
        <v>0</v>
      </c>
    </row>
    <row r="121" spans="1:123" x14ac:dyDescent="0.25">
      <c r="A121" t="str">
        <f>"11/29/2023 20:16:25.773"</f>
        <v>11/29/2023 20:16:25.773</v>
      </c>
      <c r="C121" t="str">
        <f t="shared" si="19"/>
        <v>FFDF53C0</v>
      </c>
      <c r="D121" t="s">
        <v>123</v>
      </c>
      <c r="E121">
        <v>1</v>
      </c>
      <c r="F121">
        <v>1001</v>
      </c>
      <c r="G121" t="s">
        <v>134</v>
      </c>
      <c r="J121" t="s">
        <v>125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"20:16:25.422"</f>
        <v>20:16:25.422</v>
      </c>
      <c r="T121" t="str">
        <f>"20:16:25.022"</f>
        <v>20:16:25.022</v>
      </c>
      <c r="U121" t="str">
        <f t="shared" si="13"/>
        <v>AA0632</v>
      </c>
      <c r="V121">
        <v>0</v>
      </c>
      <c r="W121">
        <v>0</v>
      </c>
      <c r="X121">
        <v>2</v>
      </c>
      <c r="Y121">
        <v>0</v>
      </c>
      <c r="AA121">
        <v>0</v>
      </c>
      <c r="AB121">
        <v>8</v>
      </c>
      <c r="AC121">
        <v>3</v>
      </c>
      <c r="AD121">
        <v>0</v>
      </c>
      <c r="AE121">
        <v>8</v>
      </c>
      <c r="AF121" t="s">
        <v>126</v>
      </c>
      <c r="AG121">
        <v>0</v>
      </c>
      <c r="AH121">
        <v>0</v>
      </c>
      <c r="AI121">
        <v>2</v>
      </c>
      <c r="AJ121">
        <v>0</v>
      </c>
      <c r="AK121" t="s">
        <v>204</v>
      </c>
      <c r="AL121">
        <v>31.961932000000001</v>
      </c>
      <c r="AM121" t="s">
        <v>208</v>
      </c>
      <c r="AN121">
        <v>-101.136124</v>
      </c>
      <c r="AQ121" t="s">
        <v>129</v>
      </c>
      <c r="AR121">
        <v>-89</v>
      </c>
      <c r="AS121">
        <v>-1</v>
      </c>
      <c r="AT121">
        <v>0</v>
      </c>
      <c r="BB121" t="str">
        <f t="shared" si="14"/>
        <v>1200</v>
      </c>
      <c r="BC121">
        <v>1</v>
      </c>
      <c r="BD121" t="str">
        <f t="shared" si="17"/>
        <v xml:space="preserve">N745MB  </v>
      </c>
      <c r="BE121">
        <v>1</v>
      </c>
      <c r="BG121">
        <v>0</v>
      </c>
      <c r="BH121">
        <v>0</v>
      </c>
      <c r="BI121">
        <v>0</v>
      </c>
      <c r="BL121" t="s">
        <v>130</v>
      </c>
      <c r="BM121">
        <v>1</v>
      </c>
      <c r="BN121">
        <v>0</v>
      </c>
      <c r="BO121">
        <v>0</v>
      </c>
      <c r="BP121">
        <v>0</v>
      </c>
      <c r="BT121">
        <v>0</v>
      </c>
      <c r="BU121">
        <v>0</v>
      </c>
      <c r="CE121" t="str">
        <f>"20:16:25.427"</f>
        <v>20:16:25.427</v>
      </c>
      <c r="CF121">
        <v>427309449</v>
      </c>
      <c r="CS121">
        <v>0</v>
      </c>
      <c r="CT121">
        <v>1</v>
      </c>
      <c r="CU121">
        <v>0</v>
      </c>
      <c r="CV121">
        <v>2</v>
      </c>
      <c r="CW121">
        <v>0</v>
      </c>
      <c r="CX121">
        <v>3</v>
      </c>
      <c r="CY121">
        <v>7</v>
      </c>
      <c r="CZ121" t="s">
        <v>131</v>
      </c>
      <c r="DA121">
        <v>116</v>
      </c>
      <c r="DB121">
        <v>3</v>
      </c>
      <c r="DC121" t="s">
        <v>132</v>
      </c>
      <c r="DD121" t="s">
        <v>133</v>
      </c>
      <c r="DG121">
        <v>8097208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0</v>
      </c>
      <c r="DO121">
        <v>0</v>
      </c>
      <c r="DP121">
        <v>1</v>
      </c>
      <c r="DQ121">
        <v>0</v>
      </c>
      <c r="DR121">
        <v>0</v>
      </c>
      <c r="DS121">
        <v>0</v>
      </c>
    </row>
    <row r="122" spans="1:123" x14ac:dyDescent="0.25">
      <c r="A122" t="str">
        <f>"11/29/2023 20:16:25.773"</f>
        <v>11/29/2023 20:16:25.773</v>
      </c>
      <c r="C122" t="str">
        <f t="shared" si="19"/>
        <v>FFDF53C0</v>
      </c>
      <c r="D122" t="s">
        <v>138</v>
      </c>
      <c r="E122">
        <v>3</v>
      </c>
      <c r="H122">
        <v>160</v>
      </c>
      <c r="I122" t="s">
        <v>124</v>
      </c>
      <c r="J122" t="s">
        <v>139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"20:16:25.422"</f>
        <v>20:16:25.422</v>
      </c>
      <c r="T122" t="str">
        <f>"20:16:25.022"</f>
        <v>20:16:25.022</v>
      </c>
      <c r="U122" t="str">
        <f t="shared" si="13"/>
        <v>AA0632</v>
      </c>
      <c r="V122">
        <v>0</v>
      </c>
      <c r="W122">
        <v>0</v>
      </c>
      <c r="X122">
        <v>2</v>
      </c>
      <c r="Y122">
        <v>0</v>
      </c>
      <c r="AA122">
        <v>0</v>
      </c>
      <c r="AB122">
        <v>8</v>
      </c>
      <c r="AC122">
        <v>3</v>
      </c>
      <c r="AD122">
        <v>0</v>
      </c>
      <c r="AE122">
        <v>8</v>
      </c>
      <c r="AF122" t="s">
        <v>126</v>
      </c>
      <c r="AG122">
        <v>0</v>
      </c>
      <c r="AH122">
        <v>0</v>
      </c>
      <c r="AI122">
        <v>2</v>
      </c>
      <c r="AJ122">
        <v>0</v>
      </c>
      <c r="AK122" t="s">
        <v>204</v>
      </c>
      <c r="AL122">
        <v>31.961932000000001</v>
      </c>
      <c r="AM122" t="s">
        <v>208</v>
      </c>
      <c r="AN122">
        <v>-101.136124</v>
      </c>
      <c r="AQ122" t="s">
        <v>129</v>
      </c>
      <c r="AR122">
        <v>-89</v>
      </c>
      <c r="AS122">
        <v>-1</v>
      </c>
      <c r="AT122">
        <v>0</v>
      </c>
      <c r="BB122" t="str">
        <f t="shared" si="14"/>
        <v>1200</v>
      </c>
      <c r="BC122">
        <v>1</v>
      </c>
      <c r="BD122" t="str">
        <f t="shared" si="17"/>
        <v xml:space="preserve">N745MB  </v>
      </c>
      <c r="BE122">
        <v>1</v>
      </c>
      <c r="BG122">
        <v>0</v>
      </c>
      <c r="BH122">
        <v>0</v>
      </c>
      <c r="BI122">
        <v>0</v>
      </c>
      <c r="BL122" t="s">
        <v>130</v>
      </c>
      <c r="BM122">
        <v>1</v>
      </c>
      <c r="BN122">
        <v>0</v>
      </c>
      <c r="BO122">
        <v>0</v>
      </c>
      <c r="BP122">
        <v>0</v>
      </c>
      <c r="BT122">
        <v>0</v>
      </c>
      <c r="BU122">
        <v>0</v>
      </c>
      <c r="CE122" t="str">
        <f>"20:16:25.427"</f>
        <v>20:16:25.427</v>
      </c>
      <c r="CF122">
        <v>427309449</v>
      </c>
      <c r="CS122">
        <v>0</v>
      </c>
      <c r="CT122">
        <v>1</v>
      </c>
      <c r="CU122">
        <v>0</v>
      </c>
      <c r="CV122">
        <v>2</v>
      </c>
      <c r="CW122">
        <v>0</v>
      </c>
      <c r="CX122">
        <v>3</v>
      </c>
      <c r="CY122">
        <v>7</v>
      </c>
      <c r="CZ122" t="s">
        <v>131</v>
      </c>
      <c r="DA122">
        <v>116</v>
      </c>
      <c r="DB122">
        <v>3</v>
      </c>
      <c r="DC122" t="s">
        <v>132</v>
      </c>
      <c r="DD122" t="s">
        <v>133</v>
      </c>
      <c r="DG122">
        <v>8097208</v>
      </c>
      <c r="DI122">
        <v>0</v>
      </c>
      <c r="DJ122">
        <v>0</v>
      </c>
      <c r="DK122">
        <v>1</v>
      </c>
      <c r="DL122">
        <v>0</v>
      </c>
      <c r="DM122">
        <v>0</v>
      </c>
      <c r="DN122">
        <v>0</v>
      </c>
      <c r="DO122">
        <v>0</v>
      </c>
      <c r="DP122">
        <v>1</v>
      </c>
      <c r="DQ122">
        <v>0</v>
      </c>
      <c r="DR122">
        <v>0</v>
      </c>
      <c r="DS122">
        <v>0</v>
      </c>
    </row>
    <row r="123" spans="1:123" x14ac:dyDescent="0.25">
      <c r="A123" t="str">
        <f>"11/29/2023 20:16:26.554"</f>
        <v>11/29/2023 20:16:26.554</v>
      </c>
      <c r="C123" t="str">
        <f t="shared" si="19"/>
        <v>FFDF53C0</v>
      </c>
      <c r="D123" t="s">
        <v>123</v>
      </c>
      <c r="E123">
        <v>14</v>
      </c>
      <c r="F123">
        <v>1014</v>
      </c>
      <c r="G123" t="s">
        <v>124</v>
      </c>
      <c r="J123" t="s">
        <v>125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"20:16:26.328"</f>
        <v>20:16:26.328</v>
      </c>
      <c r="T123" t="str">
        <f>"20:16:24.028"</f>
        <v>20:16:24.028</v>
      </c>
      <c r="U123" t="str">
        <f t="shared" si="13"/>
        <v>AA0632</v>
      </c>
      <c r="V123">
        <v>0</v>
      </c>
      <c r="W123">
        <v>0</v>
      </c>
      <c r="X123">
        <v>2</v>
      </c>
      <c r="Y123">
        <v>0</v>
      </c>
      <c r="AA123">
        <v>0</v>
      </c>
      <c r="AB123">
        <v>8</v>
      </c>
      <c r="AC123">
        <v>3</v>
      </c>
      <c r="AD123">
        <v>0</v>
      </c>
      <c r="AE123">
        <v>8</v>
      </c>
      <c r="AF123" t="s">
        <v>126</v>
      </c>
      <c r="AG123">
        <v>0</v>
      </c>
      <c r="AH123">
        <v>0</v>
      </c>
      <c r="AI123">
        <v>2</v>
      </c>
      <c r="AJ123">
        <v>0</v>
      </c>
      <c r="AK123" t="s">
        <v>204</v>
      </c>
      <c r="AL123">
        <v>31.961932000000001</v>
      </c>
      <c r="AM123" t="s">
        <v>209</v>
      </c>
      <c r="AN123">
        <v>-101.13655300000001</v>
      </c>
      <c r="AQ123" t="s">
        <v>129</v>
      </c>
      <c r="AR123">
        <v>-89</v>
      </c>
      <c r="AS123">
        <v>0</v>
      </c>
      <c r="AT123">
        <v>192</v>
      </c>
      <c r="BB123" t="str">
        <f t="shared" si="14"/>
        <v>1200</v>
      </c>
      <c r="BC123">
        <v>1</v>
      </c>
      <c r="BD123" t="str">
        <f t="shared" si="17"/>
        <v xml:space="preserve">N745MB  </v>
      </c>
      <c r="BE123">
        <v>1</v>
      </c>
      <c r="BG123">
        <v>0</v>
      </c>
      <c r="BH123">
        <v>0</v>
      </c>
      <c r="BI123">
        <v>0</v>
      </c>
      <c r="BL123" t="s">
        <v>130</v>
      </c>
      <c r="BM123">
        <v>1</v>
      </c>
      <c r="BN123">
        <v>0</v>
      </c>
      <c r="BO123">
        <v>0</v>
      </c>
      <c r="BP123">
        <v>0</v>
      </c>
      <c r="BT123">
        <v>0</v>
      </c>
      <c r="BU123">
        <v>0</v>
      </c>
      <c r="CE123" t="str">
        <f>"20:16:26.333"</f>
        <v>20:16:26.333</v>
      </c>
      <c r="CF123">
        <v>333263234</v>
      </c>
      <c r="CS123">
        <v>0</v>
      </c>
      <c r="CT123">
        <v>1</v>
      </c>
      <c r="CU123">
        <v>0</v>
      </c>
      <c r="CV123">
        <v>2</v>
      </c>
      <c r="CW123">
        <v>0</v>
      </c>
      <c r="CX123">
        <v>1</v>
      </c>
      <c r="CY123">
        <v>7</v>
      </c>
      <c r="CZ123" t="s">
        <v>131</v>
      </c>
      <c r="DA123">
        <v>483</v>
      </c>
      <c r="DB123">
        <v>1</v>
      </c>
      <c r="DC123" t="s">
        <v>169</v>
      </c>
      <c r="DD123" t="s">
        <v>170</v>
      </c>
      <c r="DG123">
        <v>7291876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1</v>
      </c>
      <c r="DQ123">
        <v>0</v>
      </c>
      <c r="DR123">
        <v>0</v>
      </c>
      <c r="DS123">
        <v>0</v>
      </c>
    </row>
    <row r="124" spans="1:123" x14ac:dyDescent="0.25">
      <c r="A124" t="str">
        <f>"11/29/2023 20:16:26.554"</f>
        <v>11/29/2023 20:16:26.554</v>
      </c>
      <c r="C124" t="str">
        <f t="shared" si="19"/>
        <v>FFDF53C0</v>
      </c>
      <c r="D124" t="s">
        <v>138</v>
      </c>
      <c r="E124">
        <v>3</v>
      </c>
      <c r="H124">
        <v>160</v>
      </c>
      <c r="I124" t="s">
        <v>124</v>
      </c>
      <c r="J124" t="s">
        <v>139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"20:16:26.328"</f>
        <v>20:16:26.328</v>
      </c>
      <c r="T124" t="str">
        <f>"20:16:24.028"</f>
        <v>20:16:24.028</v>
      </c>
      <c r="U124" t="str">
        <f t="shared" si="13"/>
        <v>AA0632</v>
      </c>
      <c r="V124">
        <v>0</v>
      </c>
      <c r="W124">
        <v>0</v>
      </c>
      <c r="X124">
        <v>2</v>
      </c>
      <c r="Y124">
        <v>0</v>
      </c>
      <c r="AA124">
        <v>0</v>
      </c>
      <c r="AB124">
        <v>8</v>
      </c>
      <c r="AC124">
        <v>3</v>
      </c>
      <c r="AD124">
        <v>0</v>
      </c>
      <c r="AE124">
        <v>8</v>
      </c>
      <c r="AF124" t="s">
        <v>126</v>
      </c>
      <c r="AG124">
        <v>0</v>
      </c>
      <c r="AH124">
        <v>0</v>
      </c>
      <c r="AI124">
        <v>2</v>
      </c>
      <c r="AJ124">
        <v>0</v>
      </c>
      <c r="AK124" t="s">
        <v>204</v>
      </c>
      <c r="AL124">
        <v>31.961932000000001</v>
      </c>
      <c r="AM124" t="s">
        <v>209</v>
      </c>
      <c r="AN124">
        <v>-101.13655300000001</v>
      </c>
      <c r="AQ124" t="s">
        <v>129</v>
      </c>
      <c r="AR124">
        <v>-89</v>
      </c>
      <c r="AS124">
        <v>0</v>
      </c>
      <c r="AT124">
        <v>192</v>
      </c>
      <c r="BB124" t="str">
        <f t="shared" si="14"/>
        <v>1200</v>
      </c>
      <c r="BC124">
        <v>1</v>
      </c>
      <c r="BD124" t="str">
        <f t="shared" si="17"/>
        <v xml:space="preserve">N745MB  </v>
      </c>
      <c r="BE124">
        <v>1</v>
      </c>
      <c r="BG124">
        <v>0</v>
      </c>
      <c r="BH124">
        <v>0</v>
      </c>
      <c r="BI124">
        <v>0</v>
      </c>
      <c r="BL124" t="s">
        <v>130</v>
      </c>
      <c r="BM124">
        <v>1</v>
      </c>
      <c r="BN124">
        <v>0</v>
      </c>
      <c r="BO124">
        <v>0</v>
      </c>
      <c r="BP124">
        <v>0</v>
      </c>
      <c r="BT124">
        <v>0</v>
      </c>
      <c r="BU124">
        <v>0</v>
      </c>
      <c r="CE124" t="str">
        <f>"20:16:26.333"</f>
        <v>20:16:26.333</v>
      </c>
      <c r="CF124">
        <v>333263234</v>
      </c>
      <c r="CS124">
        <v>0</v>
      </c>
      <c r="CT124">
        <v>1</v>
      </c>
      <c r="CU124">
        <v>0</v>
      </c>
      <c r="CV124">
        <v>2</v>
      </c>
      <c r="CW124">
        <v>0</v>
      </c>
      <c r="CX124">
        <v>1</v>
      </c>
      <c r="CY124">
        <v>7</v>
      </c>
      <c r="CZ124" t="s">
        <v>131</v>
      </c>
      <c r="DA124">
        <v>483</v>
      </c>
      <c r="DB124">
        <v>1</v>
      </c>
      <c r="DC124" t="s">
        <v>169</v>
      </c>
      <c r="DD124" t="s">
        <v>170</v>
      </c>
      <c r="DG124">
        <v>7291876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0</v>
      </c>
      <c r="DO124">
        <v>0</v>
      </c>
      <c r="DP124">
        <v>1</v>
      </c>
      <c r="DQ124">
        <v>0</v>
      </c>
      <c r="DR124">
        <v>0</v>
      </c>
      <c r="DS124">
        <v>0</v>
      </c>
    </row>
    <row r="125" spans="1:123" x14ac:dyDescent="0.25">
      <c r="A125" t="str">
        <f>"11/29/2023 20:16:27.429"</f>
        <v>11/29/2023 20:16:27.429</v>
      </c>
      <c r="C125" t="str">
        <f t="shared" si="19"/>
        <v>FFDF53C0</v>
      </c>
      <c r="D125" t="s">
        <v>123</v>
      </c>
      <c r="E125">
        <v>14</v>
      </c>
      <c r="F125">
        <v>1014</v>
      </c>
      <c r="G125" t="s">
        <v>124</v>
      </c>
      <c r="J125" t="s">
        <v>125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"20:16:26.820"</f>
        <v>20:16:26.820</v>
      </c>
      <c r="T125" t="str">
        <f>"20:16:24.020"</f>
        <v>20:16:24.020</v>
      </c>
      <c r="U125" t="str">
        <f t="shared" si="13"/>
        <v>AA0632</v>
      </c>
      <c r="V125">
        <v>0</v>
      </c>
      <c r="W125">
        <v>0</v>
      </c>
      <c r="X125">
        <v>2</v>
      </c>
      <c r="Y125">
        <v>0</v>
      </c>
      <c r="AA125">
        <v>0</v>
      </c>
      <c r="AB125">
        <v>8</v>
      </c>
      <c r="AC125">
        <v>3</v>
      </c>
      <c r="AD125">
        <v>0</v>
      </c>
      <c r="AE125">
        <v>8</v>
      </c>
      <c r="AF125" t="s">
        <v>126</v>
      </c>
      <c r="AG125">
        <v>0</v>
      </c>
      <c r="AH125">
        <v>0</v>
      </c>
      <c r="AI125">
        <v>2</v>
      </c>
      <c r="AJ125">
        <v>0</v>
      </c>
      <c r="AK125" t="s">
        <v>204</v>
      </c>
      <c r="AL125">
        <v>31.961932000000001</v>
      </c>
      <c r="AM125" t="s">
        <v>210</v>
      </c>
      <c r="AN125">
        <v>-101.136768</v>
      </c>
      <c r="AQ125" t="s">
        <v>129</v>
      </c>
      <c r="AR125">
        <v>-89</v>
      </c>
      <c r="AS125">
        <v>0</v>
      </c>
      <c r="AT125">
        <v>192</v>
      </c>
      <c r="BB125" t="str">
        <f t="shared" si="14"/>
        <v>1200</v>
      </c>
      <c r="BC125">
        <v>1</v>
      </c>
      <c r="BD125" t="str">
        <f t="shared" si="17"/>
        <v xml:space="preserve">N745MB  </v>
      </c>
      <c r="BE125">
        <v>1</v>
      </c>
      <c r="BG125">
        <v>0</v>
      </c>
      <c r="BH125">
        <v>0</v>
      </c>
      <c r="BI125">
        <v>0</v>
      </c>
      <c r="BL125" t="s">
        <v>130</v>
      </c>
      <c r="BM125">
        <v>1</v>
      </c>
      <c r="BN125">
        <v>0</v>
      </c>
      <c r="BO125">
        <v>0</v>
      </c>
      <c r="BP125">
        <v>0</v>
      </c>
      <c r="BT125">
        <v>0</v>
      </c>
      <c r="BU125">
        <v>0</v>
      </c>
      <c r="CE125" t="str">
        <f>"20:16:26.823"</f>
        <v>20:16:26.823</v>
      </c>
      <c r="CF125">
        <v>823231455</v>
      </c>
      <c r="CS125">
        <v>0</v>
      </c>
      <c r="CT125">
        <v>1</v>
      </c>
      <c r="CU125">
        <v>0</v>
      </c>
      <c r="CV125">
        <v>2</v>
      </c>
      <c r="CW125">
        <v>0</v>
      </c>
      <c r="CX125">
        <v>2</v>
      </c>
      <c r="CY125">
        <v>7</v>
      </c>
      <c r="CZ125" t="s">
        <v>131</v>
      </c>
      <c r="DA125">
        <v>483</v>
      </c>
      <c r="DB125">
        <v>1</v>
      </c>
      <c r="DC125" t="s">
        <v>169</v>
      </c>
      <c r="DD125" t="s">
        <v>170</v>
      </c>
      <c r="DG125">
        <v>7291954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1</v>
      </c>
      <c r="DQ125">
        <v>0</v>
      </c>
      <c r="DR125">
        <v>0</v>
      </c>
      <c r="DS125">
        <v>0</v>
      </c>
    </row>
    <row r="126" spans="1:123" x14ac:dyDescent="0.25">
      <c r="A126" t="str">
        <f>"11/29/2023 20:16:27.429"</f>
        <v>11/29/2023 20:16:27.429</v>
      </c>
      <c r="C126" t="str">
        <f t="shared" si="19"/>
        <v>FFDF53C0</v>
      </c>
      <c r="D126" t="s">
        <v>138</v>
      </c>
      <c r="E126">
        <v>3</v>
      </c>
      <c r="H126">
        <v>160</v>
      </c>
      <c r="I126" t="s">
        <v>124</v>
      </c>
      <c r="J126" t="s">
        <v>139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"20:16:26.820"</f>
        <v>20:16:26.820</v>
      </c>
      <c r="T126" t="str">
        <f>"20:16:24.020"</f>
        <v>20:16:24.020</v>
      </c>
      <c r="U126" t="str">
        <f t="shared" si="13"/>
        <v>AA0632</v>
      </c>
      <c r="V126">
        <v>0</v>
      </c>
      <c r="W126">
        <v>0</v>
      </c>
      <c r="X126">
        <v>2</v>
      </c>
      <c r="Y126">
        <v>0</v>
      </c>
      <c r="AA126">
        <v>0</v>
      </c>
      <c r="AB126">
        <v>8</v>
      </c>
      <c r="AC126">
        <v>3</v>
      </c>
      <c r="AD126">
        <v>0</v>
      </c>
      <c r="AE126">
        <v>8</v>
      </c>
      <c r="AF126" t="s">
        <v>126</v>
      </c>
      <c r="AG126">
        <v>0</v>
      </c>
      <c r="AH126">
        <v>0</v>
      </c>
      <c r="AI126">
        <v>2</v>
      </c>
      <c r="AJ126">
        <v>0</v>
      </c>
      <c r="AK126" t="s">
        <v>204</v>
      </c>
      <c r="AL126">
        <v>31.961932000000001</v>
      </c>
      <c r="AM126" t="s">
        <v>210</v>
      </c>
      <c r="AN126">
        <v>-101.136768</v>
      </c>
      <c r="AQ126" t="s">
        <v>129</v>
      </c>
      <c r="AR126">
        <v>-89</v>
      </c>
      <c r="AS126">
        <v>0</v>
      </c>
      <c r="AT126">
        <v>192</v>
      </c>
      <c r="BB126" t="str">
        <f t="shared" si="14"/>
        <v>1200</v>
      </c>
      <c r="BC126">
        <v>1</v>
      </c>
      <c r="BD126" t="str">
        <f t="shared" si="17"/>
        <v xml:space="preserve">N745MB  </v>
      </c>
      <c r="BE126">
        <v>1</v>
      </c>
      <c r="BG126">
        <v>0</v>
      </c>
      <c r="BH126">
        <v>0</v>
      </c>
      <c r="BI126">
        <v>0</v>
      </c>
      <c r="BL126" t="s">
        <v>130</v>
      </c>
      <c r="BM126">
        <v>1</v>
      </c>
      <c r="BN126">
        <v>0</v>
      </c>
      <c r="BO126">
        <v>0</v>
      </c>
      <c r="BP126">
        <v>0</v>
      </c>
      <c r="BT126">
        <v>0</v>
      </c>
      <c r="BU126">
        <v>0</v>
      </c>
      <c r="CE126" t="str">
        <f>"20:16:26.823"</f>
        <v>20:16:26.823</v>
      </c>
      <c r="CF126">
        <v>823231455</v>
      </c>
      <c r="CS126">
        <v>0</v>
      </c>
      <c r="CT126">
        <v>1</v>
      </c>
      <c r="CU126">
        <v>0</v>
      </c>
      <c r="CV126">
        <v>2</v>
      </c>
      <c r="CW126">
        <v>0</v>
      </c>
      <c r="CX126">
        <v>2</v>
      </c>
      <c r="CY126">
        <v>7</v>
      </c>
      <c r="CZ126" t="s">
        <v>131</v>
      </c>
      <c r="DA126">
        <v>483</v>
      </c>
      <c r="DB126">
        <v>1</v>
      </c>
      <c r="DC126" t="s">
        <v>169</v>
      </c>
      <c r="DD126" t="s">
        <v>170</v>
      </c>
      <c r="DG126">
        <v>7291954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1</v>
      </c>
      <c r="DQ126">
        <v>0</v>
      </c>
      <c r="DR126">
        <v>0</v>
      </c>
      <c r="DS126">
        <v>0</v>
      </c>
    </row>
    <row r="127" spans="1:123" x14ac:dyDescent="0.25">
      <c r="A127" t="str">
        <f>"11/29/2023 20:16:28.163"</f>
        <v>11/29/2023 20:16:28.163</v>
      </c>
      <c r="C127" t="str">
        <f t="shared" si="19"/>
        <v>FFDF53C0</v>
      </c>
      <c r="D127" t="s">
        <v>123</v>
      </c>
      <c r="E127">
        <v>1</v>
      </c>
      <c r="F127">
        <v>1001</v>
      </c>
      <c r="G127" t="s">
        <v>134</v>
      </c>
      <c r="J127" t="s">
        <v>125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"20:16:27.875"</f>
        <v>20:16:27.875</v>
      </c>
      <c r="T127" t="str">
        <f>"20:16:27.775"</f>
        <v>20:16:27.775</v>
      </c>
      <c r="U127" t="str">
        <f t="shared" si="13"/>
        <v>AA0632</v>
      </c>
      <c r="V127">
        <v>0</v>
      </c>
      <c r="W127">
        <v>0</v>
      </c>
      <c r="X127">
        <v>2</v>
      </c>
      <c r="Y127">
        <v>0</v>
      </c>
      <c r="AA127">
        <v>0</v>
      </c>
      <c r="AB127">
        <v>8</v>
      </c>
      <c r="AC127">
        <v>3</v>
      </c>
      <c r="AD127">
        <v>0</v>
      </c>
      <c r="AE127">
        <v>8</v>
      </c>
      <c r="AF127" t="s">
        <v>126</v>
      </c>
      <c r="AG127">
        <v>0</v>
      </c>
      <c r="AH127">
        <v>0</v>
      </c>
      <c r="AI127">
        <v>2</v>
      </c>
      <c r="AJ127">
        <v>0</v>
      </c>
      <c r="AK127" t="s">
        <v>202</v>
      </c>
      <c r="AL127">
        <v>31.961888999999999</v>
      </c>
      <c r="AM127" t="s">
        <v>211</v>
      </c>
      <c r="AN127">
        <v>-101.137283</v>
      </c>
      <c r="AQ127" t="s">
        <v>129</v>
      </c>
      <c r="AR127">
        <v>-88</v>
      </c>
      <c r="AS127">
        <v>-3</v>
      </c>
      <c r="AT127">
        <v>-128</v>
      </c>
      <c r="BB127" t="str">
        <f t="shared" si="14"/>
        <v>1200</v>
      </c>
      <c r="BC127">
        <v>1</v>
      </c>
      <c r="BD127" t="str">
        <f t="shared" si="17"/>
        <v xml:space="preserve">N745MB  </v>
      </c>
      <c r="BE127">
        <v>1</v>
      </c>
      <c r="BG127">
        <v>0</v>
      </c>
      <c r="BH127">
        <v>0</v>
      </c>
      <c r="BI127">
        <v>0</v>
      </c>
      <c r="BL127" t="s">
        <v>130</v>
      </c>
      <c r="BM127">
        <v>1</v>
      </c>
      <c r="BN127">
        <v>0</v>
      </c>
      <c r="BO127">
        <v>0</v>
      </c>
      <c r="BP127">
        <v>0</v>
      </c>
      <c r="BT127">
        <v>0</v>
      </c>
      <c r="BU127">
        <v>0</v>
      </c>
      <c r="CE127" t="str">
        <f>"20:16:27.881"</f>
        <v>20:16:27.881</v>
      </c>
      <c r="CF127">
        <v>881142169</v>
      </c>
      <c r="CS127">
        <v>0</v>
      </c>
      <c r="CT127">
        <v>1</v>
      </c>
      <c r="CU127">
        <v>0</v>
      </c>
      <c r="CV127">
        <v>2</v>
      </c>
      <c r="CW127">
        <v>0</v>
      </c>
      <c r="CX127">
        <v>2</v>
      </c>
      <c r="CY127">
        <v>7</v>
      </c>
      <c r="CZ127" t="s">
        <v>131</v>
      </c>
      <c r="DA127">
        <v>116</v>
      </c>
      <c r="DB127">
        <v>0</v>
      </c>
      <c r="DC127" t="s">
        <v>132</v>
      </c>
      <c r="DD127" t="s">
        <v>133</v>
      </c>
      <c r="DG127">
        <v>14167478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1</v>
      </c>
      <c r="DQ127">
        <v>0</v>
      </c>
      <c r="DR127">
        <v>0</v>
      </c>
      <c r="DS127">
        <v>0</v>
      </c>
    </row>
    <row r="128" spans="1:123" x14ac:dyDescent="0.25">
      <c r="A128" t="str">
        <f>"11/29/2023 20:16:28.163"</f>
        <v>11/29/2023 20:16:28.163</v>
      </c>
      <c r="C128" t="str">
        <f t="shared" si="19"/>
        <v>FFDF53C0</v>
      </c>
      <c r="D128" t="s">
        <v>138</v>
      </c>
      <c r="E128">
        <v>3</v>
      </c>
      <c r="H128">
        <v>160</v>
      </c>
      <c r="I128" t="s">
        <v>124</v>
      </c>
      <c r="J128" t="s">
        <v>139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"20:16:27.875"</f>
        <v>20:16:27.875</v>
      </c>
      <c r="T128" t="str">
        <f>"20:16:27.775"</f>
        <v>20:16:27.775</v>
      </c>
      <c r="U128" t="str">
        <f t="shared" si="13"/>
        <v>AA0632</v>
      </c>
      <c r="V128">
        <v>0</v>
      </c>
      <c r="W128">
        <v>0</v>
      </c>
      <c r="X128">
        <v>2</v>
      </c>
      <c r="Y128">
        <v>0</v>
      </c>
      <c r="AA128">
        <v>0</v>
      </c>
      <c r="AB128">
        <v>8</v>
      </c>
      <c r="AC128">
        <v>3</v>
      </c>
      <c r="AD128">
        <v>0</v>
      </c>
      <c r="AE128">
        <v>8</v>
      </c>
      <c r="AF128" t="s">
        <v>126</v>
      </c>
      <c r="AG128">
        <v>0</v>
      </c>
      <c r="AH128">
        <v>0</v>
      </c>
      <c r="AI128">
        <v>2</v>
      </c>
      <c r="AJ128">
        <v>0</v>
      </c>
      <c r="AK128" t="s">
        <v>202</v>
      </c>
      <c r="AL128">
        <v>31.961888999999999</v>
      </c>
      <c r="AM128" t="s">
        <v>211</v>
      </c>
      <c r="AN128">
        <v>-101.137283</v>
      </c>
      <c r="AQ128" t="s">
        <v>129</v>
      </c>
      <c r="AR128">
        <v>-88</v>
      </c>
      <c r="AS128">
        <v>-3</v>
      </c>
      <c r="AT128">
        <v>-128</v>
      </c>
      <c r="BB128" t="str">
        <f t="shared" si="14"/>
        <v>1200</v>
      </c>
      <c r="BC128">
        <v>1</v>
      </c>
      <c r="BD128" t="str">
        <f t="shared" si="17"/>
        <v xml:space="preserve">N745MB  </v>
      </c>
      <c r="BE128">
        <v>1</v>
      </c>
      <c r="BG128">
        <v>0</v>
      </c>
      <c r="BH128">
        <v>0</v>
      </c>
      <c r="BI128">
        <v>0</v>
      </c>
      <c r="BL128" t="s">
        <v>130</v>
      </c>
      <c r="BM128">
        <v>1</v>
      </c>
      <c r="BN128">
        <v>0</v>
      </c>
      <c r="BO128">
        <v>0</v>
      </c>
      <c r="BP128">
        <v>0</v>
      </c>
      <c r="BT128">
        <v>0</v>
      </c>
      <c r="BU128">
        <v>0</v>
      </c>
      <c r="CE128" t="str">
        <f>"20:16:27.881"</f>
        <v>20:16:27.881</v>
      </c>
      <c r="CF128">
        <v>881142169</v>
      </c>
      <c r="CS128">
        <v>0</v>
      </c>
      <c r="CT128">
        <v>1</v>
      </c>
      <c r="CU128">
        <v>0</v>
      </c>
      <c r="CV128">
        <v>2</v>
      </c>
      <c r="CW128">
        <v>0</v>
      </c>
      <c r="CX128">
        <v>2</v>
      </c>
      <c r="CY128">
        <v>7</v>
      </c>
      <c r="CZ128" t="s">
        <v>131</v>
      </c>
      <c r="DA128">
        <v>116</v>
      </c>
      <c r="DB128">
        <v>0</v>
      </c>
      <c r="DC128" t="s">
        <v>132</v>
      </c>
      <c r="DD128" t="s">
        <v>133</v>
      </c>
      <c r="DG128">
        <v>14167478</v>
      </c>
      <c r="DI128">
        <v>0</v>
      </c>
      <c r="DJ128">
        <v>0</v>
      </c>
      <c r="DK128">
        <v>1</v>
      </c>
      <c r="DL128">
        <v>0</v>
      </c>
      <c r="DM128">
        <v>0</v>
      </c>
      <c r="DN128">
        <v>0</v>
      </c>
      <c r="DO128">
        <v>0</v>
      </c>
      <c r="DP128">
        <v>1</v>
      </c>
      <c r="DQ128">
        <v>0</v>
      </c>
      <c r="DR128">
        <v>0</v>
      </c>
      <c r="DS128">
        <v>0</v>
      </c>
    </row>
    <row r="129" spans="1:123" x14ac:dyDescent="0.25">
      <c r="A129" t="str">
        <f>"11/29/2023 20:16:28.335"</f>
        <v>11/29/2023 20:16:28.335</v>
      </c>
      <c r="C129" t="str">
        <f t="shared" si="19"/>
        <v>FFDF53C0</v>
      </c>
      <c r="D129" t="s">
        <v>135</v>
      </c>
      <c r="E129">
        <v>31</v>
      </c>
      <c r="H129">
        <v>285</v>
      </c>
      <c r="I129" t="s">
        <v>136</v>
      </c>
      <c r="J129" t="s">
        <v>137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"20:16:27.875"</f>
        <v>20:16:27.875</v>
      </c>
      <c r="T129" t="str">
        <f>"20:16:27.775"</f>
        <v>20:16:27.775</v>
      </c>
      <c r="U129" t="str">
        <f t="shared" si="13"/>
        <v>AA0632</v>
      </c>
      <c r="V129">
        <v>0</v>
      </c>
      <c r="W129">
        <v>0</v>
      </c>
      <c r="X129">
        <v>2</v>
      </c>
      <c r="Y129">
        <v>0</v>
      </c>
      <c r="AA129">
        <v>0</v>
      </c>
      <c r="AB129">
        <v>8</v>
      </c>
      <c r="AC129">
        <v>3</v>
      </c>
      <c r="AD129">
        <v>0</v>
      </c>
      <c r="AE129">
        <v>8</v>
      </c>
      <c r="AF129" t="s">
        <v>126</v>
      </c>
      <c r="AG129">
        <v>0</v>
      </c>
      <c r="AH129">
        <v>0</v>
      </c>
      <c r="AI129">
        <v>2</v>
      </c>
      <c r="AJ129">
        <v>0</v>
      </c>
      <c r="AK129" t="s">
        <v>202</v>
      </c>
      <c r="AL129">
        <v>31.961888999999999</v>
      </c>
      <c r="AM129" t="s">
        <v>211</v>
      </c>
      <c r="AN129">
        <v>-101.137283</v>
      </c>
      <c r="AQ129" t="s">
        <v>129</v>
      </c>
      <c r="AR129">
        <v>-88</v>
      </c>
      <c r="AS129">
        <v>-3</v>
      </c>
      <c r="AT129">
        <v>-128</v>
      </c>
      <c r="BB129" t="str">
        <f t="shared" si="14"/>
        <v>1200</v>
      </c>
      <c r="BC129">
        <v>1</v>
      </c>
      <c r="BD129" t="str">
        <f t="shared" si="17"/>
        <v xml:space="preserve">N745MB  </v>
      </c>
      <c r="BE129">
        <v>1</v>
      </c>
      <c r="BG129">
        <v>0</v>
      </c>
      <c r="BH129">
        <v>0</v>
      </c>
      <c r="BI129">
        <v>0</v>
      </c>
      <c r="BL129" t="s">
        <v>130</v>
      </c>
      <c r="BM129">
        <v>1</v>
      </c>
      <c r="BN129">
        <v>0</v>
      </c>
      <c r="BO129">
        <v>0</v>
      </c>
      <c r="BP129">
        <v>0</v>
      </c>
      <c r="BT129">
        <v>0</v>
      </c>
      <c r="BU129">
        <v>0</v>
      </c>
      <c r="CE129" t="str">
        <f>"20:16:27.881"</f>
        <v>20:16:27.881</v>
      </c>
      <c r="CF129">
        <v>881142169</v>
      </c>
      <c r="CS129">
        <v>0</v>
      </c>
      <c r="CT129">
        <v>1</v>
      </c>
      <c r="CU129">
        <v>0</v>
      </c>
      <c r="CV129">
        <v>2</v>
      </c>
      <c r="CW129">
        <v>0</v>
      </c>
      <c r="CX129">
        <v>2</v>
      </c>
      <c r="CY129">
        <v>7</v>
      </c>
      <c r="CZ129" t="s">
        <v>131</v>
      </c>
      <c r="DA129">
        <v>116</v>
      </c>
      <c r="DB129">
        <v>0</v>
      </c>
      <c r="DC129" t="s">
        <v>132</v>
      </c>
      <c r="DD129" t="s">
        <v>133</v>
      </c>
      <c r="DG129">
        <v>14167478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1</v>
      </c>
      <c r="DQ129">
        <v>0</v>
      </c>
      <c r="DR129">
        <v>0</v>
      </c>
      <c r="DS129">
        <v>0</v>
      </c>
    </row>
    <row r="130" spans="1:123" x14ac:dyDescent="0.25">
      <c r="A130" t="str">
        <f>"11/29/2023 20:16:28.335"</f>
        <v>11/29/2023 20:16:28.335</v>
      </c>
      <c r="C130" t="str">
        <f t="shared" si="19"/>
        <v>FFDF53C0</v>
      </c>
      <c r="D130" t="s">
        <v>123</v>
      </c>
      <c r="E130">
        <v>14</v>
      </c>
      <c r="F130">
        <v>1014</v>
      </c>
      <c r="G130" t="s">
        <v>124</v>
      </c>
      <c r="J130" t="s">
        <v>125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"20:16:27.875"</f>
        <v>20:16:27.875</v>
      </c>
      <c r="T130" t="str">
        <f>"20:16:27.775"</f>
        <v>20:16:27.775</v>
      </c>
      <c r="U130" t="str">
        <f t="shared" ref="U130:U193" si="21">"AA0632"</f>
        <v>AA0632</v>
      </c>
      <c r="V130">
        <v>0</v>
      </c>
      <c r="W130">
        <v>0</v>
      </c>
      <c r="X130">
        <v>2</v>
      </c>
      <c r="Y130">
        <v>0</v>
      </c>
      <c r="AA130">
        <v>0</v>
      </c>
      <c r="AB130">
        <v>8</v>
      </c>
      <c r="AC130">
        <v>3</v>
      </c>
      <c r="AD130">
        <v>0</v>
      </c>
      <c r="AE130">
        <v>8</v>
      </c>
      <c r="AF130" t="s">
        <v>126</v>
      </c>
      <c r="AG130">
        <v>0</v>
      </c>
      <c r="AH130">
        <v>0</v>
      </c>
      <c r="AI130">
        <v>2</v>
      </c>
      <c r="AJ130">
        <v>0</v>
      </c>
      <c r="AK130" t="s">
        <v>202</v>
      </c>
      <c r="AL130">
        <v>31.961888999999999</v>
      </c>
      <c r="AM130" t="s">
        <v>211</v>
      </c>
      <c r="AN130">
        <v>-101.137283</v>
      </c>
      <c r="AQ130" t="s">
        <v>129</v>
      </c>
      <c r="AR130">
        <v>-88</v>
      </c>
      <c r="AS130">
        <v>-3</v>
      </c>
      <c r="AT130">
        <v>-128</v>
      </c>
      <c r="BB130" t="str">
        <f t="shared" ref="BB130:BB193" si="22">"1200"</f>
        <v>1200</v>
      </c>
      <c r="BC130">
        <v>1</v>
      </c>
      <c r="BD130" t="str">
        <f t="shared" si="17"/>
        <v xml:space="preserve">N745MB  </v>
      </c>
      <c r="BE130">
        <v>1</v>
      </c>
      <c r="BG130">
        <v>0</v>
      </c>
      <c r="BH130">
        <v>0</v>
      </c>
      <c r="BI130">
        <v>0</v>
      </c>
      <c r="BL130" t="s">
        <v>130</v>
      </c>
      <c r="BM130">
        <v>1</v>
      </c>
      <c r="BN130">
        <v>0</v>
      </c>
      <c r="BO130">
        <v>0</v>
      </c>
      <c r="BP130">
        <v>0</v>
      </c>
      <c r="BT130">
        <v>0</v>
      </c>
      <c r="BU130">
        <v>0</v>
      </c>
      <c r="CE130" t="str">
        <f>"20:16:27.881"</f>
        <v>20:16:27.881</v>
      </c>
      <c r="CF130">
        <v>881142169</v>
      </c>
      <c r="CS130">
        <v>0</v>
      </c>
      <c r="CT130">
        <v>1</v>
      </c>
      <c r="CU130">
        <v>0</v>
      </c>
      <c r="CV130">
        <v>2</v>
      </c>
      <c r="CW130">
        <v>0</v>
      </c>
      <c r="CX130">
        <v>2</v>
      </c>
      <c r="CY130">
        <v>7</v>
      </c>
      <c r="CZ130" t="s">
        <v>131</v>
      </c>
      <c r="DA130">
        <v>116</v>
      </c>
      <c r="DB130">
        <v>0</v>
      </c>
      <c r="DC130" t="s">
        <v>132</v>
      </c>
      <c r="DD130" t="s">
        <v>133</v>
      </c>
      <c r="DG130">
        <v>14167478</v>
      </c>
      <c r="DI130">
        <v>0</v>
      </c>
      <c r="DJ130">
        <v>0</v>
      </c>
      <c r="DK130">
        <v>1</v>
      </c>
      <c r="DL130">
        <v>0</v>
      </c>
      <c r="DM130">
        <v>0</v>
      </c>
      <c r="DN130">
        <v>0</v>
      </c>
      <c r="DO130">
        <v>0</v>
      </c>
      <c r="DP130">
        <v>1</v>
      </c>
      <c r="DQ130">
        <v>0</v>
      </c>
      <c r="DR130">
        <v>0</v>
      </c>
      <c r="DS130">
        <v>0</v>
      </c>
    </row>
    <row r="131" spans="1:123" x14ac:dyDescent="0.25">
      <c r="A131" t="str">
        <f>"11/29/2023 20:16:29.116"</f>
        <v>11/29/2023 20:16:29.116</v>
      </c>
      <c r="C131" t="str">
        <f t="shared" si="19"/>
        <v>FFDF53C0</v>
      </c>
      <c r="D131" t="s">
        <v>123</v>
      </c>
      <c r="E131">
        <v>14</v>
      </c>
      <c r="F131">
        <v>1014</v>
      </c>
      <c r="G131" t="s">
        <v>124</v>
      </c>
      <c r="J131" t="s">
        <v>125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"20:16:28.453"</f>
        <v>20:16:28.453</v>
      </c>
      <c r="T131" t="str">
        <f>"20:16:28.353"</f>
        <v>20:16:28.353</v>
      </c>
      <c r="U131" t="str">
        <f t="shared" si="21"/>
        <v>AA0632</v>
      </c>
      <c r="V131">
        <v>0</v>
      </c>
      <c r="W131">
        <v>0</v>
      </c>
      <c r="X131">
        <v>2</v>
      </c>
      <c r="Y131">
        <v>0</v>
      </c>
      <c r="AA131">
        <v>0</v>
      </c>
      <c r="AB131">
        <v>8</v>
      </c>
      <c r="AC131">
        <v>3</v>
      </c>
      <c r="AD131">
        <v>0</v>
      </c>
      <c r="AE131">
        <v>8</v>
      </c>
      <c r="AF131" t="s">
        <v>126</v>
      </c>
      <c r="AG131">
        <v>0</v>
      </c>
      <c r="AH131">
        <v>0</v>
      </c>
      <c r="AI131">
        <v>2</v>
      </c>
      <c r="AJ131">
        <v>0</v>
      </c>
      <c r="AK131" t="s">
        <v>202</v>
      </c>
      <c r="AL131">
        <v>31.961888999999999</v>
      </c>
      <c r="AM131" t="s">
        <v>212</v>
      </c>
      <c r="AN131">
        <v>-101.137562</v>
      </c>
      <c r="AQ131" t="s">
        <v>129</v>
      </c>
      <c r="AR131">
        <v>-88</v>
      </c>
      <c r="AS131">
        <v>-3</v>
      </c>
      <c r="AT131">
        <v>-128</v>
      </c>
      <c r="BB131" t="str">
        <f t="shared" si="22"/>
        <v>1200</v>
      </c>
      <c r="BC131">
        <v>1</v>
      </c>
      <c r="BD131" t="str">
        <f t="shared" si="17"/>
        <v xml:space="preserve">N745MB  </v>
      </c>
      <c r="BE131">
        <v>1</v>
      </c>
      <c r="BG131">
        <v>0</v>
      </c>
      <c r="BH131">
        <v>0</v>
      </c>
      <c r="BI131">
        <v>0</v>
      </c>
      <c r="BL131" t="s">
        <v>130</v>
      </c>
      <c r="BM131">
        <v>1</v>
      </c>
      <c r="BN131">
        <v>0</v>
      </c>
      <c r="BO131">
        <v>0</v>
      </c>
      <c r="BP131">
        <v>0</v>
      </c>
      <c r="BT131">
        <v>0</v>
      </c>
      <c r="BU131">
        <v>0</v>
      </c>
      <c r="CE131" t="str">
        <f>"20:16:28.457"</f>
        <v>20:16:28.457</v>
      </c>
      <c r="CF131">
        <v>457119158</v>
      </c>
      <c r="CS131">
        <v>0</v>
      </c>
      <c r="CT131">
        <v>1</v>
      </c>
      <c r="CU131">
        <v>0</v>
      </c>
      <c r="CV131">
        <v>2</v>
      </c>
      <c r="CW131">
        <v>0</v>
      </c>
      <c r="CX131">
        <v>3</v>
      </c>
      <c r="CY131">
        <v>7</v>
      </c>
      <c r="CZ131" t="s">
        <v>131</v>
      </c>
      <c r="DA131">
        <v>483</v>
      </c>
      <c r="DB131">
        <v>1</v>
      </c>
      <c r="DC131" t="s">
        <v>169</v>
      </c>
      <c r="DD131" t="s">
        <v>170</v>
      </c>
      <c r="DG131">
        <v>7292206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1</v>
      </c>
      <c r="DQ131">
        <v>0</v>
      </c>
      <c r="DR131">
        <v>0</v>
      </c>
      <c r="DS131">
        <v>0</v>
      </c>
    </row>
    <row r="132" spans="1:123" x14ac:dyDescent="0.25">
      <c r="A132" t="str">
        <f>"11/29/2023 20:16:29.132"</f>
        <v>11/29/2023 20:16:29.132</v>
      </c>
      <c r="C132" t="str">
        <f t="shared" si="19"/>
        <v>FFDF53C0</v>
      </c>
      <c r="D132" t="s">
        <v>138</v>
      </c>
      <c r="E132">
        <v>3</v>
      </c>
      <c r="H132">
        <v>160</v>
      </c>
      <c r="I132" t="s">
        <v>124</v>
      </c>
      <c r="J132" t="s">
        <v>139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"20:16:28.453"</f>
        <v>20:16:28.453</v>
      </c>
      <c r="T132" t="str">
        <f>"20:16:28.353"</f>
        <v>20:16:28.353</v>
      </c>
      <c r="U132" t="str">
        <f t="shared" si="21"/>
        <v>AA0632</v>
      </c>
      <c r="V132">
        <v>0</v>
      </c>
      <c r="W132">
        <v>0</v>
      </c>
      <c r="X132">
        <v>2</v>
      </c>
      <c r="Y132">
        <v>0</v>
      </c>
      <c r="AA132">
        <v>0</v>
      </c>
      <c r="AB132">
        <v>8</v>
      </c>
      <c r="AC132">
        <v>3</v>
      </c>
      <c r="AD132">
        <v>0</v>
      </c>
      <c r="AE132">
        <v>8</v>
      </c>
      <c r="AF132" t="s">
        <v>126</v>
      </c>
      <c r="AG132">
        <v>0</v>
      </c>
      <c r="AH132">
        <v>0</v>
      </c>
      <c r="AI132">
        <v>2</v>
      </c>
      <c r="AJ132">
        <v>0</v>
      </c>
      <c r="AK132" t="s">
        <v>202</v>
      </c>
      <c r="AL132">
        <v>31.961888999999999</v>
      </c>
      <c r="AM132" t="s">
        <v>212</v>
      </c>
      <c r="AN132">
        <v>-101.137562</v>
      </c>
      <c r="AQ132" t="s">
        <v>129</v>
      </c>
      <c r="AR132">
        <v>-88</v>
      </c>
      <c r="AS132">
        <v>-3</v>
      </c>
      <c r="AT132">
        <v>-128</v>
      </c>
      <c r="BB132" t="str">
        <f t="shared" si="22"/>
        <v>1200</v>
      </c>
      <c r="BC132">
        <v>1</v>
      </c>
      <c r="BD132" t="str">
        <f t="shared" si="17"/>
        <v xml:space="preserve">N745MB  </v>
      </c>
      <c r="BE132">
        <v>1</v>
      </c>
      <c r="BG132">
        <v>0</v>
      </c>
      <c r="BH132">
        <v>0</v>
      </c>
      <c r="BI132">
        <v>0</v>
      </c>
      <c r="BL132" t="s">
        <v>130</v>
      </c>
      <c r="BM132">
        <v>1</v>
      </c>
      <c r="BN132">
        <v>0</v>
      </c>
      <c r="BO132">
        <v>0</v>
      </c>
      <c r="BP132">
        <v>0</v>
      </c>
      <c r="BT132">
        <v>0</v>
      </c>
      <c r="BU132">
        <v>0</v>
      </c>
      <c r="CE132" t="str">
        <f>"20:16:28.457"</f>
        <v>20:16:28.457</v>
      </c>
      <c r="CF132">
        <v>457119158</v>
      </c>
      <c r="CS132">
        <v>0</v>
      </c>
      <c r="CT132">
        <v>1</v>
      </c>
      <c r="CU132">
        <v>0</v>
      </c>
      <c r="CV132">
        <v>2</v>
      </c>
      <c r="CW132">
        <v>0</v>
      </c>
      <c r="CX132">
        <v>3</v>
      </c>
      <c r="CY132">
        <v>7</v>
      </c>
      <c r="CZ132" t="s">
        <v>131</v>
      </c>
      <c r="DA132">
        <v>483</v>
      </c>
      <c r="DB132">
        <v>1</v>
      </c>
      <c r="DC132" t="s">
        <v>169</v>
      </c>
      <c r="DD132" t="s">
        <v>170</v>
      </c>
      <c r="DG132">
        <v>7292206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1</v>
      </c>
      <c r="DQ132">
        <v>0</v>
      </c>
      <c r="DR132">
        <v>0</v>
      </c>
      <c r="DS132">
        <v>0</v>
      </c>
    </row>
    <row r="133" spans="1:123" x14ac:dyDescent="0.25">
      <c r="A133" t="str">
        <f>"11/29/2023 20:16:30.898"</f>
        <v>11/29/2023 20:16:30.898</v>
      </c>
      <c r="C133" t="str">
        <f t="shared" si="19"/>
        <v>FFDF53C0</v>
      </c>
      <c r="D133" t="s">
        <v>135</v>
      </c>
      <c r="E133">
        <v>31</v>
      </c>
      <c r="H133">
        <v>285</v>
      </c>
      <c r="I133" t="s">
        <v>136</v>
      </c>
      <c r="J133" t="s">
        <v>137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"20:16:30.500"</f>
        <v>20:16:30.500</v>
      </c>
      <c r="T133" t="str">
        <f>"20:16:30.300"</f>
        <v>20:16:30.300</v>
      </c>
      <c r="U133" t="str">
        <f t="shared" si="21"/>
        <v>AA0632</v>
      </c>
      <c r="V133">
        <v>0</v>
      </c>
      <c r="W133">
        <v>0</v>
      </c>
      <c r="X133">
        <v>2</v>
      </c>
      <c r="Y133">
        <v>0</v>
      </c>
      <c r="AA133">
        <v>0</v>
      </c>
      <c r="AB133">
        <v>8</v>
      </c>
      <c r="AC133">
        <v>3</v>
      </c>
      <c r="AD133">
        <v>0</v>
      </c>
      <c r="AE133">
        <v>8</v>
      </c>
      <c r="AF133" t="s">
        <v>126</v>
      </c>
      <c r="AG133">
        <v>0</v>
      </c>
      <c r="AH133">
        <v>0</v>
      </c>
      <c r="AI133">
        <v>2</v>
      </c>
      <c r="AJ133">
        <v>0</v>
      </c>
      <c r="AK133" t="s">
        <v>202</v>
      </c>
      <c r="AL133">
        <v>31.961888999999999</v>
      </c>
      <c r="AM133" t="s">
        <v>213</v>
      </c>
      <c r="AN133">
        <v>-101.138549</v>
      </c>
      <c r="AQ133" t="s">
        <v>129</v>
      </c>
      <c r="AR133">
        <v>-88</v>
      </c>
      <c r="AS133">
        <v>-3</v>
      </c>
      <c r="AT133">
        <v>-256</v>
      </c>
      <c r="BB133" t="str">
        <f t="shared" si="22"/>
        <v>1200</v>
      </c>
      <c r="BC133">
        <v>1</v>
      </c>
      <c r="BD133" t="str">
        <f t="shared" si="17"/>
        <v xml:space="preserve">N745MB  </v>
      </c>
      <c r="BE133">
        <v>1</v>
      </c>
      <c r="BG133">
        <v>0</v>
      </c>
      <c r="BH133">
        <v>0</v>
      </c>
      <c r="BI133">
        <v>0</v>
      </c>
      <c r="BL133" t="s">
        <v>130</v>
      </c>
      <c r="BM133">
        <v>1</v>
      </c>
      <c r="BN133">
        <v>0</v>
      </c>
      <c r="BO133">
        <v>0</v>
      </c>
      <c r="BP133">
        <v>0</v>
      </c>
      <c r="BT133">
        <v>0</v>
      </c>
      <c r="BU133">
        <v>0</v>
      </c>
      <c r="CE133" t="str">
        <f>"20:16:30.507"</f>
        <v>20:16:30.507</v>
      </c>
      <c r="CF133">
        <v>506959661</v>
      </c>
      <c r="CS133">
        <v>0</v>
      </c>
      <c r="CT133">
        <v>1</v>
      </c>
      <c r="CU133">
        <v>0</v>
      </c>
      <c r="CV133">
        <v>2</v>
      </c>
      <c r="CW133">
        <v>0</v>
      </c>
      <c r="CX133">
        <v>3</v>
      </c>
      <c r="CY133">
        <v>7</v>
      </c>
      <c r="CZ133" t="s">
        <v>131</v>
      </c>
      <c r="DA133">
        <v>116</v>
      </c>
      <c r="DB133">
        <v>3</v>
      </c>
      <c r="DC133" t="s">
        <v>132</v>
      </c>
      <c r="DD133" t="s">
        <v>133</v>
      </c>
      <c r="DG133">
        <v>8100070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1</v>
      </c>
      <c r="DQ133">
        <v>0</v>
      </c>
      <c r="DR133">
        <v>0</v>
      </c>
      <c r="DS133">
        <v>0</v>
      </c>
    </row>
    <row r="134" spans="1:123" x14ac:dyDescent="0.25">
      <c r="A134" t="str">
        <f>"11/29/2023 20:16:30.898"</f>
        <v>11/29/2023 20:16:30.898</v>
      </c>
      <c r="C134" t="str">
        <f t="shared" si="19"/>
        <v>FFDF53C0</v>
      </c>
      <c r="D134" t="s">
        <v>123</v>
      </c>
      <c r="E134">
        <v>14</v>
      </c>
      <c r="F134">
        <v>1014</v>
      </c>
      <c r="G134" t="s">
        <v>124</v>
      </c>
      <c r="J134" t="s">
        <v>125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"20:16:30.500"</f>
        <v>20:16:30.500</v>
      </c>
      <c r="T134" t="str">
        <f>"20:16:30.300"</f>
        <v>20:16:30.300</v>
      </c>
      <c r="U134" t="str">
        <f t="shared" si="21"/>
        <v>AA0632</v>
      </c>
      <c r="V134">
        <v>0</v>
      </c>
      <c r="W134">
        <v>0</v>
      </c>
      <c r="X134">
        <v>2</v>
      </c>
      <c r="Y134">
        <v>0</v>
      </c>
      <c r="AA134">
        <v>0</v>
      </c>
      <c r="AB134">
        <v>8</v>
      </c>
      <c r="AC134">
        <v>3</v>
      </c>
      <c r="AD134">
        <v>0</v>
      </c>
      <c r="AE134">
        <v>8</v>
      </c>
      <c r="AF134" t="s">
        <v>126</v>
      </c>
      <c r="AG134">
        <v>0</v>
      </c>
      <c r="AH134">
        <v>0</v>
      </c>
      <c r="AI134">
        <v>2</v>
      </c>
      <c r="AJ134">
        <v>0</v>
      </c>
      <c r="AK134" t="s">
        <v>202</v>
      </c>
      <c r="AL134">
        <v>31.961888999999999</v>
      </c>
      <c r="AM134" t="s">
        <v>213</v>
      </c>
      <c r="AN134">
        <v>-101.138549</v>
      </c>
      <c r="AQ134" t="s">
        <v>129</v>
      </c>
      <c r="AR134">
        <v>-88</v>
      </c>
      <c r="AS134">
        <v>-3</v>
      </c>
      <c r="AT134">
        <v>-256</v>
      </c>
      <c r="BB134" t="str">
        <f t="shared" si="22"/>
        <v>1200</v>
      </c>
      <c r="BC134">
        <v>1</v>
      </c>
      <c r="BD134" t="str">
        <f t="shared" si="17"/>
        <v xml:space="preserve">N745MB  </v>
      </c>
      <c r="BE134">
        <v>1</v>
      </c>
      <c r="BG134">
        <v>0</v>
      </c>
      <c r="BH134">
        <v>0</v>
      </c>
      <c r="BI134">
        <v>0</v>
      </c>
      <c r="BL134" t="s">
        <v>130</v>
      </c>
      <c r="BM134">
        <v>1</v>
      </c>
      <c r="BN134">
        <v>0</v>
      </c>
      <c r="BO134">
        <v>0</v>
      </c>
      <c r="BP134">
        <v>0</v>
      </c>
      <c r="BT134">
        <v>0</v>
      </c>
      <c r="BU134">
        <v>0</v>
      </c>
      <c r="CE134" t="str">
        <f>"20:16:30.507"</f>
        <v>20:16:30.507</v>
      </c>
      <c r="CF134">
        <v>506959661</v>
      </c>
      <c r="CS134">
        <v>0</v>
      </c>
      <c r="CT134">
        <v>1</v>
      </c>
      <c r="CU134">
        <v>0</v>
      </c>
      <c r="CV134">
        <v>2</v>
      </c>
      <c r="CW134">
        <v>0</v>
      </c>
      <c r="CX134">
        <v>3</v>
      </c>
      <c r="CY134">
        <v>7</v>
      </c>
      <c r="CZ134" t="s">
        <v>131</v>
      </c>
      <c r="DA134">
        <v>116</v>
      </c>
      <c r="DB134">
        <v>3</v>
      </c>
      <c r="DC134" t="s">
        <v>132</v>
      </c>
      <c r="DD134" t="s">
        <v>133</v>
      </c>
      <c r="DG134">
        <v>8100070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1</v>
      </c>
      <c r="DQ134">
        <v>0</v>
      </c>
      <c r="DR134">
        <v>0</v>
      </c>
      <c r="DS134">
        <v>0</v>
      </c>
    </row>
    <row r="135" spans="1:123" x14ac:dyDescent="0.25">
      <c r="A135" t="str">
        <f>"11/29/2023 20:16:30.944"</f>
        <v>11/29/2023 20:16:30.944</v>
      </c>
      <c r="C135" t="str">
        <f t="shared" si="19"/>
        <v>FFDF53C0</v>
      </c>
      <c r="D135" t="s">
        <v>123</v>
      </c>
      <c r="E135">
        <v>1</v>
      </c>
      <c r="F135">
        <v>1001</v>
      </c>
      <c r="G135" t="s">
        <v>134</v>
      </c>
      <c r="J135" t="s">
        <v>125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"20:16:30.500"</f>
        <v>20:16:30.500</v>
      </c>
      <c r="T135" t="str">
        <f>"20:16:30.300"</f>
        <v>20:16:30.300</v>
      </c>
      <c r="U135" t="str">
        <f t="shared" si="21"/>
        <v>AA0632</v>
      </c>
      <c r="V135">
        <v>0</v>
      </c>
      <c r="W135">
        <v>0</v>
      </c>
      <c r="X135">
        <v>2</v>
      </c>
      <c r="Y135">
        <v>0</v>
      </c>
      <c r="AA135">
        <v>0</v>
      </c>
      <c r="AB135">
        <v>8</v>
      </c>
      <c r="AC135">
        <v>3</v>
      </c>
      <c r="AD135">
        <v>0</v>
      </c>
      <c r="AE135">
        <v>8</v>
      </c>
      <c r="AF135" t="s">
        <v>126</v>
      </c>
      <c r="AG135">
        <v>0</v>
      </c>
      <c r="AH135">
        <v>0</v>
      </c>
      <c r="AI135">
        <v>2</v>
      </c>
      <c r="AJ135">
        <v>0</v>
      </c>
      <c r="AK135" t="s">
        <v>202</v>
      </c>
      <c r="AL135">
        <v>31.961888999999999</v>
      </c>
      <c r="AM135" t="s">
        <v>213</v>
      </c>
      <c r="AN135">
        <v>-101.138549</v>
      </c>
      <c r="AQ135" t="s">
        <v>129</v>
      </c>
      <c r="AR135">
        <v>-88</v>
      </c>
      <c r="AS135">
        <v>-3</v>
      </c>
      <c r="AT135">
        <v>-256</v>
      </c>
      <c r="BB135" t="str">
        <f t="shared" si="22"/>
        <v>1200</v>
      </c>
      <c r="BC135">
        <v>1</v>
      </c>
      <c r="BD135" t="str">
        <f t="shared" si="17"/>
        <v xml:space="preserve">N745MB  </v>
      </c>
      <c r="BE135">
        <v>1</v>
      </c>
      <c r="BG135">
        <v>0</v>
      </c>
      <c r="BH135">
        <v>0</v>
      </c>
      <c r="BI135">
        <v>0</v>
      </c>
      <c r="BL135" t="s">
        <v>130</v>
      </c>
      <c r="BM135">
        <v>1</v>
      </c>
      <c r="BN135">
        <v>0</v>
      </c>
      <c r="BO135">
        <v>0</v>
      </c>
      <c r="BP135">
        <v>0</v>
      </c>
      <c r="BT135">
        <v>0</v>
      </c>
      <c r="BU135">
        <v>0</v>
      </c>
      <c r="CE135" t="str">
        <f>"20:16:30.507"</f>
        <v>20:16:30.507</v>
      </c>
      <c r="CF135">
        <v>506959661</v>
      </c>
      <c r="CS135">
        <v>0</v>
      </c>
      <c r="CT135">
        <v>1</v>
      </c>
      <c r="CU135">
        <v>0</v>
      </c>
      <c r="CV135">
        <v>2</v>
      </c>
      <c r="CW135">
        <v>0</v>
      </c>
      <c r="CX135">
        <v>3</v>
      </c>
      <c r="CY135">
        <v>7</v>
      </c>
      <c r="CZ135" t="s">
        <v>131</v>
      </c>
      <c r="DA135">
        <v>116</v>
      </c>
      <c r="DB135">
        <v>3</v>
      </c>
      <c r="DC135" t="s">
        <v>132</v>
      </c>
      <c r="DD135" t="s">
        <v>133</v>
      </c>
      <c r="DG135">
        <v>8100070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0</v>
      </c>
      <c r="DO135">
        <v>0</v>
      </c>
      <c r="DP135">
        <v>1</v>
      </c>
      <c r="DQ135">
        <v>0</v>
      </c>
      <c r="DR135">
        <v>0</v>
      </c>
      <c r="DS135">
        <v>0</v>
      </c>
    </row>
    <row r="136" spans="1:123" x14ac:dyDescent="0.25">
      <c r="A136" t="str">
        <f>"11/29/2023 20:16:30.944"</f>
        <v>11/29/2023 20:16:30.944</v>
      </c>
      <c r="C136" t="str">
        <f t="shared" si="19"/>
        <v>FFDF53C0</v>
      </c>
      <c r="D136" t="s">
        <v>138</v>
      </c>
      <c r="E136">
        <v>3</v>
      </c>
      <c r="H136">
        <v>160</v>
      </c>
      <c r="I136" t="s">
        <v>124</v>
      </c>
      <c r="J136" t="s">
        <v>139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"20:16:30.500"</f>
        <v>20:16:30.500</v>
      </c>
      <c r="T136" t="str">
        <f>"20:16:30.300"</f>
        <v>20:16:30.300</v>
      </c>
      <c r="U136" t="str">
        <f t="shared" si="21"/>
        <v>AA0632</v>
      </c>
      <c r="V136">
        <v>0</v>
      </c>
      <c r="W136">
        <v>0</v>
      </c>
      <c r="X136">
        <v>2</v>
      </c>
      <c r="Y136">
        <v>0</v>
      </c>
      <c r="AA136">
        <v>0</v>
      </c>
      <c r="AB136">
        <v>8</v>
      </c>
      <c r="AC136">
        <v>3</v>
      </c>
      <c r="AD136">
        <v>0</v>
      </c>
      <c r="AE136">
        <v>8</v>
      </c>
      <c r="AF136" t="s">
        <v>126</v>
      </c>
      <c r="AG136">
        <v>0</v>
      </c>
      <c r="AH136">
        <v>0</v>
      </c>
      <c r="AI136">
        <v>2</v>
      </c>
      <c r="AJ136">
        <v>0</v>
      </c>
      <c r="AK136" t="s">
        <v>202</v>
      </c>
      <c r="AL136">
        <v>31.961888999999999</v>
      </c>
      <c r="AM136" t="s">
        <v>213</v>
      </c>
      <c r="AN136">
        <v>-101.138549</v>
      </c>
      <c r="AQ136" t="s">
        <v>129</v>
      </c>
      <c r="AR136">
        <v>-88</v>
      </c>
      <c r="AS136">
        <v>-3</v>
      </c>
      <c r="AT136">
        <v>-256</v>
      </c>
      <c r="BB136" t="str">
        <f t="shared" si="22"/>
        <v>1200</v>
      </c>
      <c r="BC136">
        <v>1</v>
      </c>
      <c r="BD136" t="str">
        <f t="shared" si="17"/>
        <v xml:space="preserve">N745MB  </v>
      </c>
      <c r="BE136">
        <v>1</v>
      </c>
      <c r="BG136">
        <v>0</v>
      </c>
      <c r="BH136">
        <v>0</v>
      </c>
      <c r="BI136">
        <v>0</v>
      </c>
      <c r="BL136" t="s">
        <v>130</v>
      </c>
      <c r="BM136">
        <v>1</v>
      </c>
      <c r="BN136">
        <v>0</v>
      </c>
      <c r="BO136">
        <v>0</v>
      </c>
      <c r="BP136">
        <v>0</v>
      </c>
      <c r="BT136">
        <v>0</v>
      </c>
      <c r="BU136">
        <v>0</v>
      </c>
      <c r="CE136" t="str">
        <f>"20:16:30.507"</f>
        <v>20:16:30.507</v>
      </c>
      <c r="CF136">
        <v>506959661</v>
      </c>
      <c r="CS136">
        <v>0</v>
      </c>
      <c r="CT136">
        <v>1</v>
      </c>
      <c r="CU136">
        <v>0</v>
      </c>
      <c r="CV136">
        <v>2</v>
      </c>
      <c r="CW136">
        <v>0</v>
      </c>
      <c r="CX136">
        <v>3</v>
      </c>
      <c r="CY136">
        <v>7</v>
      </c>
      <c r="CZ136" t="s">
        <v>131</v>
      </c>
      <c r="DA136">
        <v>116</v>
      </c>
      <c r="DB136">
        <v>3</v>
      </c>
      <c r="DC136" t="s">
        <v>132</v>
      </c>
      <c r="DD136" t="s">
        <v>133</v>
      </c>
      <c r="DG136">
        <v>8100070</v>
      </c>
      <c r="DI136">
        <v>0</v>
      </c>
      <c r="DJ136">
        <v>0</v>
      </c>
      <c r="DK136">
        <v>1</v>
      </c>
      <c r="DL136">
        <v>0</v>
      </c>
      <c r="DM136">
        <v>0</v>
      </c>
      <c r="DN136">
        <v>0</v>
      </c>
      <c r="DO136">
        <v>0</v>
      </c>
      <c r="DP136">
        <v>1</v>
      </c>
      <c r="DQ136">
        <v>0</v>
      </c>
      <c r="DR136">
        <v>0</v>
      </c>
      <c r="DS136">
        <v>0</v>
      </c>
    </row>
    <row r="137" spans="1:123" x14ac:dyDescent="0.25">
      <c r="A137" t="str">
        <f>"11/29/2023 20:16:32.273"</f>
        <v>11/29/2023 20:16:32.273</v>
      </c>
      <c r="C137" t="str">
        <f t="shared" si="19"/>
        <v>FFDF53C0</v>
      </c>
      <c r="D137" t="s">
        <v>123</v>
      </c>
      <c r="E137">
        <v>1</v>
      </c>
      <c r="F137">
        <v>1001</v>
      </c>
      <c r="G137" t="s">
        <v>134</v>
      </c>
      <c r="J137" t="s">
        <v>125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 t="shared" ref="S137:T140" si="23">"20:16:31.977"</f>
        <v>20:16:31.977</v>
      </c>
      <c r="T137" t="str">
        <f t="shared" si="23"/>
        <v>20:16:31.977</v>
      </c>
      <c r="U137" t="str">
        <f t="shared" si="21"/>
        <v>AA0632</v>
      </c>
      <c r="V137">
        <v>0</v>
      </c>
      <c r="W137">
        <v>0</v>
      </c>
      <c r="X137">
        <v>2</v>
      </c>
      <c r="Y137">
        <v>0</v>
      </c>
      <c r="AA137">
        <v>0</v>
      </c>
      <c r="AB137">
        <v>8</v>
      </c>
      <c r="AC137">
        <v>3</v>
      </c>
      <c r="AD137">
        <v>0</v>
      </c>
      <c r="AE137">
        <v>8</v>
      </c>
      <c r="AF137" t="s">
        <v>126</v>
      </c>
      <c r="AG137">
        <v>0</v>
      </c>
      <c r="AH137">
        <v>0</v>
      </c>
      <c r="AI137">
        <v>2</v>
      </c>
      <c r="AJ137">
        <v>0</v>
      </c>
      <c r="AK137" t="s">
        <v>202</v>
      </c>
      <c r="AL137">
        <v>31.961888999999999</v>
      </c>
      <c r="AM137" t="s">
        <v>214</v>
      </c>
      <c r="AN137">
        <v>-101.13919300000001</v>
      </c>
      <c r="AQ137" t="s">
        <v>129</v>
      </c>
      <c r="AR137">
        <v>-88</v>
      </c>
      <c r="AS137">
        <v>-4</v>
      </c>
      <c r="AT137">
        <v>-64</v>
      </c>
      <c r="BB137" t="str">
        <f t="shared" si="22"/>
        <v>1200</v>
      </c>
      <c r="BC137">
        <v>1</v>
      </c>
      <c r="BD137" t="str">
        <f t="shared" si="17"/>
        <v xml:space="preserve">N745MB  </v>
      </c>
      <c r="BE137">
        <v>1</v>
      </c>
      <c r="BG137">
        <v>0</v>
      </c>
      <c r="BH137">
        <v>0</v>
      </c>
      <c r="BI137">
        <v>0</v>
      </c>
      <c r="BL137" t="s">
        <v>130</v>
      </c>
      <c r="BM137">
        <v>1</v>
      </c>
      <c r="BN137">
        <v>0</v>
      </c>
      <c r="BO137">
        <v>0</v>
      </c>
      <c r="BP137">
        <v>0</v>
      </c>
      <c r="BT137">
        <v>0</v>
      </c>
      <c r="BU137">
        <v>0</v>
      </c>
      <c r="CE137" t="str">
        <f>"20:16:31.979"</f>
        <v>20:16:31.979</v>
      </c>
      <c r="CF137">
        <v>978859702</v>
      </c>
      <c r="CS137">
        <v>0</v>
      </c>
      <c r="CT137">
        <v>1</v>
      </c>
      <c r="CU137">
        <v>0</v>
      </c>
      <c r="CV137">
        <v>2</v>
      </c>
      <c r="CW137">
        <v>0</v>
      </c>
      <c r="CX137">
        <v>3</v>
      </c>
      <c r="CY137">
        <v>7</v>
      </c>
      <c r="CZ137" t="s">
        <v>131</v>
      </c>
      <c r="DA137">
        <v>116</v>
      </c>
      <c r="DB137">
        <v>3</v>
      </c>
      <c r="DC137" t="s">
        <v>132</v>
      </c>
      <c r="DD137" t="s">
        <v>133</v>
      </c>
      <c r="DG137">
        <v>8100838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1</v>
      </c>
      <c r="DQ137">
        <v>0</v>
      </c>
      <c r="DR137">
        <v>0</v>
      </c>
      <c r="DS137">
        <v>0</v>
      </c>
    </row>
    <row r="138" spans="1:123" x14ac:dyDescent="0.25">
      <c r="A138" t="str">
        <f>"11/29/2023 20:16:32.273"</f>
        <v>11/29/2023 20:16:32.273</v>
      </c>
      <c r="C138" t="str">
        <f t="shared" si="19"/>
        <v>FFDF53C0</v>
      </c>
      <c r="D138" t="s">
        <v>138</v>
      </c>
      <c r="E138">
        <v>3</v>
      </c>
      <c r="H138">
        <v>160</v>
      </c>
      <c r="I138" t="s">
        <v>124</v>
      </c>
      <c r="J138" t="s">
        <v>139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 t="shared" si="23"/>
        <v>20:16:31.977</v>
      </c>
      <c r="T138" t="str">
        <f t="shared" si="23"/>
        <v>20:16:31.977</v>
      </c>
      <c r="U138" t="str">
        <f t="shared" si="21"/>
        <v>AA0632</v>
      </c>
      <c r="V138">
        <v>0</v>
      </c>
      <c r="W138">
        <v>0</v>
      </c>
      <c r="X138">
        <v>2</v>
      </c>
      <c r="Y138">
        <v>0</v>
      </c>
      <c r="AA138">
        <v>0</v>
      </c>
      <c r="AB138">
        <v>8</v>
      </c>
      <c r="AC138">
        <v>3</v>
      </c>
      <c r="AD138">
        <v>0</v>
      </c>
      <c r="AE138">
        <v>8</v>
      </c>
      <c r="AF138" t="s">
        <v>126</v>
      </c>
      <c r="AG138">
        <v>0</v>
      </c>
      <c r="AH138">
        <v>0</v>
      </c>
      <c r="AI138">
        <v>2</v>
      </c>
      <c r="AJ138">
        <v>0</v>
      </c>
      <c r="AK138" t="s">
        <v>202</v>
      </c>
      <c r="AL138">
        <v>31.961888999999999</v>
      </c>
      <c r="AM138" t="s">
        <v>214</v>
      </c>
      <c r="AN138">
        <v>-101.13919300000001</v>
      </c>
      <c r="AQ138" t="s">
        <v>129</v>
      </c>
      <c r="AR138">
        <v>-88</v>
      </c>
      <c r="AS138">
        <v>-4</v>
      </c>
      <c r="AT138">
        <v>-64</v>
      </c>
      <c r="BB138" t="str">
        <f t="shared" si="22"/>
        <v>1200</v>
      </c>
      <c r="BC138">
        <v>1</v>
      </c>
      <c r="BD138" t="str">
        <f t="shared" si="17"/>
        <v xml:space="preserve">N745MB  </v>
      </c>
      <c r="BE138">
        <v>1</v>
      </c>
      <c r="BG138">
        <v>0</v>
      </c>
      <c r="BH138">
        <v>0</v>
      </c>
      <c r="BI138">
        <v>0</v>
      </c>
      <c r="BL138" t="s">
        <v>130</v>
      </c>
      <c r="BM138">
        <v>1</v>
      </c>
      <c r="BN138">
        <v>0</v>
      </c>
      <c r="BO138">
        <v>0</v>
      </c>
      <c r="BP138">
        <v>0</v>
      </c>
      <c r="BT138">
        <v>0</v>
      </c>
      <c r="BU138">
        <v>0</v>
      </c>
      <c r="CE138" t="str">
        <f>"20:16:31.979"</f>
        <v>20:16:31.979</v>
      </c>
      <c r="CF138">
        <v>978859702</v>
      </c>
      <c r="CS138">
        <v>0</v>
      </c>
      <c r="CT138">
        <v>1</v>
      </c>
      <c r="CU138">
        <v>0</v>
      </c>
      <c r="CV138">
        <v>2</v>
      </c>
      <c r="CW138">
        <v>0</v>
      </c>
      <c r="CX138">
        <v>3</v>
      </c>
      <c r="CY138">
        <v>7</v>
      </c>
      <c r="CZ138" t="s">
        <v>131</v>
      </c>
      <c r="DA138">
        <v>116</v>
      </c>
      <c r="DB138">
        <v>3</v>
      </c>
      <c r="DC138" t="s">
        <v>132</v>
      </c>
      <c r="DD138" t="s">
        <v>133</v>
      </c>
      <c r="DG138">
        <v>8100838</v>
      </c>
      <c r="DI138">
        <v>0</v>
      </c>
      <c r="DJ138">
        <v>0</v>
      </c>
      <c r="DK138">
        <v>1</v>
      </c>
      <c r="DL138">
        <v>0</v>
      </c>
      <c r="DM138">
        <v>0</v>
      </c>
      <c r="DN138">
        <v>0</v>
      </c>
      <c r="DO138">
        <v>0</v>
      </c>
      <c r="DP138">
        <v>1</v>
      </c>
      <c r="DQ138">
        <v>0</v>
      </c>
      <c r="DR138">
        <v>0</v>
      </c>
      <c r="DS138">
        <v>0</v>
      </c>
    </row>
    <row r="139" spans="1:123" x14ac:dyDescent="0.25">
      <c r="A139" t="str">
        <f>"11/29/2023 20:16:32.319"</f>
        <v>11/29/2023 20:16:32.319</v>
      </c>
      <c r="C139" t="str">
        <f t="shared" si="19"/>
        <v>FFDF53C0</v>
      </c>
      <c r="D139" t="s">
        <v>135</v>
      </c>
      <c r="E139">
        <v>31</v>
      </c>
      <c r="H139">
        <v>285</v>
      </c>
      <c r="I139" t="s">
        <v>136</v>
      </c>
      <c r="J139" t="s">
        <v>137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 t="shared" si="23"/>
        <v>20:16:31.977</v>
      </c>
      <c r="T139" t="str">
        <f t="shared" si="23"/>
        <v>20:16:31.977</v>
      </c>
      <c r="U139" t="str">
        <f t="shared" si="21"/>
        <v>AA0632</v>
      </c>
      <c r="V139">
        <v>0</v>
      </c>
      <c r="W139">
        <v>0</v>
      </c>
      <c r="X139">
        <v>2</v>
      </c>
      <c r="Y139">
        <v>0</v>
      </c>
      <c r="AA139">
        <v>0</v>
      </c>
      <c r="AB139">
        <v>8</v>
      </c>
      <c r="AC139">
        <v>3</v>
      </c>
      <c r="AD139">
        <v>0</v>
      </c>
      <c r="AE139">
        <v>8</v>
      </c>
      <c r="AF139" t="s">
        <v>126</v>
      </c>
      <c r="AG139">
        <v>0</v>
      </c>
      <c r="AH139">
        <v>0</v>
      </c>
      <c r="AI139">
        <v>2</v>
      </c>
      <c r="AJ139">
        <v>0</v>
      </c>
      <c r="AK139" t="s">
        <v>202</v>
      </c>
      <c r="AL139">
        <v>31.961888999999999</v>
      </c>
      <c r="AM139" t="s">
        <v>214</v>
      </c>
      <c r="AN139">
        <v>-101.13919300000001</v>
      </c>
      <c r="AQ139" t="s">
        <v>129</v>
      </c>
      <c r="AR139">
        <v>-88</v>
      </c>
      <c r="AS139">
        <v>-4</v>
      </c>
      <c r="AT139">
        <v>-64</v>
      </c>
      <c r="BB139" t="str">
        <f t="shared" si="22"/>
        <v>1200</v>
      </c>
      <c r="BC139">
        <v>1</v>
      </c>
      <c r="BD139" t="str">
        <f t="shared" si="17"/>
        <v xml:space="preserve">N745MB  </v>
      </c>
      <c r="BE139">
        <v>1</v>
      </c>
      <c r="BG139">
        <v>0</v>
      </c>
      <c r="BH139">
        <v>0</v>
      </c>
      <c r="BI139">
        <v>0</v>
      </c>
      <c r="BL139" t="s">
        <v>130</v>
      </c>
      <c r="BM139">
        <v>1</v>
      </c>
      <c r="BN139">
        <v>0</v>
      </c>
      <c r="BO139">
        <v>0</v>
      </c>
      <c r="BP139">
        <v>0</v>
      </c>
      <c r="BT139">
        <v>0</v>
      </c>
      <c r="BU139">
        <v>0</v>
      </c>
      <c r="CE139" t="str">
        <f>"20:16:31.979"</f>
        <v>20:16:31.979</v>
      </c>
      <c r="CF139">
        <v>978859702</v>
      </c>
      <c r="CS139">
        <v>0</v>
      </c>
      <c r="CT139">
        <v>1</v>
      </c>
      <c r="CU139">
        <v>0</v>
      </c>
      <c r="CV139">
        <v>2</v>
      </c>
      <c r="CW139">
        <v>0</v>
      </c>
      <c r="CX139">
        <v>3</v>
      </c>
      <c r="CY139">
        <v>7</v>
      </c>
      <c r="CZ139" t="s">
        <v>131</v>
      </c>
      <c r="DA139">
        <v>116</v>
      </c>
      <c r="DB139">
        <v>3</v>
      </c>
      <c r="DC139" t="s">
        <v>132</v>
      </c>
      <c r="DD139" t="s">
        <v>133</v>
      </c>
      <c r="DG139">
        <v>8100838</v>
      </c>
      <c r="DI139">
        <v>0</v>
      </c>
      <c r="DJ139">
        <v>0</v>
      </c>
      <c r="DK139">
        <v>1</v>
      </c>
      <c r="DL139">
        <v>0</v>
      </c>
      <c r="DM139">
        <v>0</v>
      </c>
      <c r="DN139">
        <v>0</v>
      </c>
      <c r="DO139">
        <v>0</v>
      </c>
      <c r="DP139">
        <v>1</v>
      </c>
      <c r="DQ139">
        <v>0</v>
      </c>
      <c r="DR139">
        <v>0</v>
      </c>
      <c r="DS139">
        <v>0</v>
      </c>
    </row>
    <row r="140" spans="1:123" x14ac:dyDescent="0.25">
      <c r="A140" t="str">
        <f>"11/29/2023 20:16:32.335"</f>
        <v>11/29/2023 20:16:32.335</v>
      </c>
      <c r="C140" t="str">
        <f t="shared" si="19"/>
        <v>FFDF53C0</v>
      </c>
      <c r="D140" t="s">
        <v>123</v>
      </c>
      <c r="E140">
        <v>14</v>
      </c>
      <c r="F140">
        <v>1014</v>
      </c>
      <c r="G140" t="s">
        <v>124</v>
      </c>
      <c r="J140" t="s">
        <v>125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 t="shared" si="23"/>
        <v>20:16:31.977</v>
      </c>
      <c r="T140" t="str">
        <f t="shared" si="23"/>
        <v>20:16:31.977</v>
      </c>
      <c r="U140" t="str">
        <f t="shared" si="21"/>
        <v>AA0632</v>
      </c>
      <c r="V140">
        <v>0</v>
      </c>
      <c r="W140">
        <v>0</v>
      </c>
      <c r="X140">
        <v>2</v>
      </c>
      <c r="Y140">
        <v>0</v>
      </c>
      <c r="AA140">
        <v>0</v>
      </c>
      <c r="AB140">
        <v>8</v>
      </c>
      <c r="AC140">
        <v>3</v>
      </c>
      <c r="AD140">
        <v>0</v>
      </c>
      <c r="AE140">
        <v>8</v>
      </c>
      <c r="AF140" t="s">
        <v>126</v>
      </c>
      <c r="AG140">
        <v>0</v>
      </c>
      <c r="AH140">
        <v>0</v>
      </c>
      <c r="AI140">
        <v>2</v>
      </c>
      <c r="AJ140">
        <v>0</v>
      </c>
      <c r="AK140" t="s">
        <v>202</v>
      </c>
      <c r="AL140">
        <v>31.961888999999999</v>
      </c>
      <c r="AM140" t="s">
        <v>214</v>
      </c>
      <c r="AN140">
        <v>-101.13919300000001</v>
      </c>
      <c r="AQ140" t="s">
        <v>129</v>
      </c>
      <c r="AR140">
        <v>-88</v>
      </c>
      <c r="AS140">
        <v>-4</v>
      </c>
      <c r="AT140">
        <v>-64</v>
      </c>
      <c r="BB140" t="str">
        <f t="shared" si="22"/>
        <v>1200</v>
      </c>
      <c r="BC140">
        <v>1</v>
      </c>
      <c r="BD140" t="str">
        <f t="shared" si="17"/>
        <v xml:space="preserve">N745MB  </v>
      </c>
      <c r="BE140">
        <v>1</v>
      </c>
      <c r="BG140">
        <v>0</v>
      </c>
      <c r="BH140">
        <v>0</v>
      </c>
      <c r="BI140">
        <v>0</v>
      </c>
      <c r="BL140" t="s">
        <v>130</v>
      </c>
      <c r="BM140">
        <v>1</v>
      </c>
      <c r="BN140">
        <v>0</v>
      </c>
      <c r="BO140">
        <v>0</v>
      </c>
      <c r="BP140">
        <v>0</v>
      </c>
      <c r="BT140">
        <v>0</v>
      </c>
      <c r="BU140">
        <v>0</v>
      </c>
      <c r="CE140" t="str">
        <f>"20:16:31.979"</f>
        <v>20:16:31.979</v>
      </c>
      <c r="CF140">
        <v>978859702</v>
      </c>
      <c r="CS140">
        <v>0</v>
      </c>
      <c r="CT140">
        <v>1</v>
      </c>
      <c r="CU140">
        <v>0</v>
      </c>
      <c r="CV140">
        <v>2</v>
      </c>
      <c r="CW140">
        <v>0</v>
      </c>
      <c r="CX140">
        <v>3</v>
      </c>
      <c r="CY140">
        <v>7</v>
      </c>
      <c r="CZ140" t="s">
        <v>131</v>
      </c>
      <c r="DA140">
        <v>116</v>
      </c>
      <c r="DB140">
        <v>3</v>
      </c>
      <c r="DC140" t="s">
        <v>132</v>
      </c>
      <c r="DD140" t="s">
        <v>133</v>
      </c>
      <c r="DG140">
        <v>8100838</v>
      </c>
      <c r="DI140">
        <v>0</v>
      </c>
      <c r="DJ140">
        <v>0</v>
      </c>
      <c r="DK140">
        <v>1</v>
      </c>
      <c r="DL140">
        <v>0</v>
      </c>
      <c r="DM140">
        <v>0</v>
      </c>
      <c r="DN140">
        <v>0</v>
      </c>
      <c r="DO140">
        <v>0</v>
      </c>
      <c r="DP140">
        <v>1</v>
      </c>
      <c r="DQ140">
        <v>0</v>
      </c>
      <c r="DR140">
        <v>0</v>
      </c>
      <c r="DS140">
        <v>0</v>
      </c>
    </row>
    <row r="141" spans="1:123" x14ac:dyDescent="0.25">
      <c r="A141" t="str">
        <f>"11/29/2023 20:16:33.101"</f>
        <v>11/29/2023 20:16:33.101</v>
      </c>
      <c r="C141" t="str">
        <f t="shared" si="19"/>
        <v>FFDF53C0</v>
      </c>
      <c r="D141" t="s">
        <v>138</v>
      </c>
      <c r="E141">
        <v>3</v>
      </c>
      <c r="H141">
        <v>160</v>
      </c>
      <c r="I141" t="s">
        <v>124</v>
      </c>
      <c r="J141" t="s">
        <v>139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"20:16:32.531"</f>
        <v>20:16:32.531</v>
      </c>
      <c r="T141" t="str">
        <f>"20:16:28.731"</f>
        <v>20:16:28.731</v>
      </c>
      <c r="U141" t="str">
        <f t="shared" si="21"/>
        <v>AA0632</v>
      </c>
      <c r="V141">
        <v>0</v>
      </c>
      <c r="W141">
        <v>0</v>
      </c>
      <c r="X141">
        <v>2</v>
      </c>
      <c r="Y141">
        <v>0</v>
      </c>
      <c r="AA141">
        <v>0</v>
      </c>
      <c r="AB141">
        <v>8</v>
      </c>
      <c r="AC141">
        <v>3</v>
      </c>
      <c r="AD141">
        <v>0</v>
      </c>
      <c r="AE141">
        <v>8</v>
      </c>
      <c r="AF141" t="s">
        <v>126</v>
      </c>
      <c r="AG141">
        <v>0</v>
      </c>
      <c r="AH141">
        <v>0</v>
      </c>
      <c r="AI141">
        <v>2</v>
      </c>
      <c r="AJ141">
        <v>0</v>
      </c>
      <c r="AK141" t="s">
        <v>215</v>
      </c>
      <c r="AL141">
        <v>31.961825000000001</v>
      </c>
      <c r="AM141" t="s">
        <v>216</v>
      </c>
      <c r="AN141">
        <v>-101.13951400000001</v>
      </c>
      <c r="AQ141" t="s">
        <v>129</v>
      </c>
      <c r="AR141">
        <v>-88</v>
      </c>
      <c r="AS141">
        <v>-3</v>
      </c>
      <c r="AT141">
        <v>-192</v>
      </c>
      <c r="BB141" t="str">
        <f t="shared" si="22"/>
        <v>1200</v>
      </c>
      <c r="BC141">
        <v>1</v>
      </c>
      <c r="BD141" t="str">
        <f t="shared" si="17"/>
        <v xml:space="preserve">N745MB  </v>
      </c>
      <c r="BE141">
        <v>1</v>
      </c>
      <c r="BG141">
        <v>0</v>
      </c>
      <c r="BH141">
        <v>0</v>
      </c>
      <c r="BI141">
        <v>0</v>
      </c>
      <c r="BL141" t="s">
        <v>130</v>
      </c>
      <c r="BM141">
        <v>1</v>
      </c>
      <c r="BN141">
        <v>0</v>
      </c>
      <c r="BO141">
        <v>0</v>
      </c>
      <c r="BP141">
        <v>0</v>
      </c>
      <c r="BT141">
        <v>0</v>
      </c>
      <c r="BU141">
        <v>0</v>
      </c>
      <c r="CE141" t="str">
        <f>"20:16:32.537"</f>
        <v>20:16:32.537</v>
      </c>
      <c r="CF141">
        <v>536855247</v>
      </c>
      <c r="CS141">
        <v>0</v>
      </c>
      <c r="CT141">
        <v>1</v>
      </c>
      <c r="CU141">
        <v>0</v>
      </c>
      <c r="CV141">
        <v>2</v>
      </c>
      <c r="CW141">
        <v>0</v>
      </c>
      <c r="CX141">
        <v>3</v>
      </c>
      <c r="CY141">
        <v>7</v>
      </c>
      <c r="CZ141" t="s">
        <v>131</v>
      </c>
      <c r="DA141">
        <v>483</v>
      </c>
      <c r="DB141">
        <v>1</v>
      </c>
      <c r="DC141" t="s">
        <v>169</v>
      </c>
      <c r="DD141" t="s">
        <v>170</v>
      </c>
      <c r="DG141">
        <v>7292886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1</v>
      </c>
      <c r="DQ141">
        <v>0</v>
      </c>
      <c r="DR141">
        <v>0</v>
      </c>
      <c r="DS141">
        <v>0</v>
      </c>
    </row>
    <row r="142" spans="1:123" x14ac:dyDescent="0.25">
      <c r="A142" t="str">
        <f>"11/29/2023 20:16:33.116"</f>
        <v>11/29/2023 20:16:33.116</v>
      </c>
      <c r="C142" t="str">
        <f t="shared" si="19"/>
        <v>FFDF53C0</v>
      </c>
      <c r="D142" t="s">
        <v>123</v>
      </c>
      <c r="E142">
        <v>14</v>
      </c>
      <c r="F142">
        <v>1014</v>
      </c>
      <c r="G142" t="s">
        <v>124</v>
      </c>
      <c r="J142" t="s">
        <v>125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"20:16:32.531"</f>
        <v>20:16:32.531</v>
      </c>
      <c r="T142" t="str">
        <f>"20:16:28.731"</f>
        <v>20:16:28.731</v>
      </c>
      <c r="U142" t="str">
        <f t="shared" si="21"/>
        <v>AA0632</v>
      </c>
      <c r="V142">
        <v>0</v>
      </c>
      <c r="W142">
        <v>0</v>
      </c>
      <c r="X142">
        <v>2</v>
      </c>
      <c r="Y142">
        <v>0</v>
      </c>
      <c r="AA142">
        <v>0</v>
      </c>
      <c r="AB142">
        <v>8</v>
      </c>
      <c r="AC142">
        <v>3</v>
      </c>
      <c r="AD142">
        <v>0</v>
      </c>
      <c r="AE142">
        <v>8</v>
      </c>
      <c r="AF142" t="s">
        <v>126</v>
      </c>
      <c r="AG142">
        <v>0</v>
      </c>
      <c r="AH142">
        <v>0</v>
      </c>
      <c r="AI142">
        <v>2</v>
      </c>
      <c r="AJ142">
        <v>0</v>
      </c>
      <c r="AK142" t="s">
        <v>215</v>
      </c>
      <c r="AL142">
        <v>31.961825000000001</v>
      </c>
      <c r="AM142" t="s">
        <v>216</v>
      </c>
      <c r="AN142">
        <v>-101.13951400000001</v>
      </c>
      <c r="AQ142" t="s">
        <v>129</v>
      </c>
      <c r="AR142">
        <v>-88</v>
      </c>
      <c r="AS142">
        <v>-3</v>
      </c>
      <c r="AT142">
        <v>-192</v>
      </c>
      <c r="BB142" t="str">
        <f t="shared" si="22"/>
        <v>1200</v>
      </c>
      <c r="BC142">
        <v>1</v>
      </c>
      <c r="BD142" t="str">
        <f t="shared" si="17"/>
        <v xml:space="preserve">N745MB  </v>
      </c>
      <c r="BE142">
        <v>1</v>
      </c>
      <c r="BG142">
        <v>0</v>
      </c>
      <c r="BH142">
        <v>0</v>
      </c>
      <c r="BI142">
        <v>0</v>
      </c>
      <c r="BL142" t="s">
        <v>130</v>
      </c>
      <c r="BM142">
        <v>1</v>
      </c>
      <c r="BN142">
        <v>0</v>
      </c>
      <c r="BO142">
        <v>0</v>
      </c>
      <c r="BP142">
        <v>0</v>
      </c>
      <c r="BT142">
        <v>0</v>
      </c>
      <c r="BU142">
        <v>0</v>
      </c>
      <c r="CE142" t="str">
        <f>"20:16:32.537"</f>
        <v>20:16:32.537</v>
      </c>
      <c r="CF142">
        <v>536855247</v>
      </c>
      <c r="CS142">
        <v>0</v>
      </c>
      <c r="CT142">
        <v>1</v>
      </c>
      <c r="CU142">
        <v>0</v>
      </c>
      <c r="CV142">
        <v>2</v>
      </c>
      <c r="CW142">
        <v>0</v>
      </c>
      <c r="CX142">
        <v>3</v>
      </c>
      <c r="CY142">
        <v>7</v>
      </c>
      <c r="CZ142" t="s">
        <v>131</v>
      </c>
      <c r="DA142">
        <v>483</v>
      </c>
      <c r="DB142">
        <v>1</v>
      </c>
      <c r="DC142" t="s">
        <v>169</v>
      </c>
      <c r="DD142" t="s">
        <v>170</v>
      </c>
      <c r="DG142">
        <v>7292886</v>
      </c>
      <c r="DI142">
        <v>0</v>
      </c>
      <c r="DJ142">
        <v>0</v>
      </c>
      <c r="DK142">
        <v>1</v>
      </c>
      <c r="DL142">
        <v>0</v>
      </c>
      <c r="DM142">
        <v>0</v>
      </c>
      <c r="DN142">
        <v>0</v>
      </c>
      <c r="DO142">
        <v>0</v>
      </c>
      <c r="DP142">
        <v>1</v>
      </c>
      <c r="DQ142">
        <v>0</v>
      </c>
      <c r="DR142">
        <v>0</v>
      </c>
      <c r="DS142">
        <v>0</v>
      </c>
    </row>
    <row r="143" spans="1:123" x14ac:dyDescent="0.25">
      <c r="A143" t="str">
        <f>"11/29/2023 20:16:33.991"</f>
        <v>11/29/2023 20:16:33.991</v>
      </c>
      <c r="C143" t="str">
        <f t="shared" si="19"/>
        <v>FFDF53C0</v>
      </c>
      <c r="D143" t="s">
        <v>123</v>
      </c>
      <c r="E143">
        <v>1</v>
      </c>
      <c r="F143">
        <v>1001</v>
      </c>
      <c r="G143" t="s">
        <v>134</v>
      </c>
      <c r="J143" t="s">
        <v>125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"20:16:33.641"</f>
        <v>20:16:33.641</v>
      </c>
      <c r="T143" t="str">
        <f>"20:16:33.541"</f>
        <v>20:16:33.541</v>
      </c>
      <c r="U143" t="str">
        <f t="shared" si="21"/>
        <v>AA0632</v>
      </c>
      <c r="V143">
        <v>0</v>
      </c>
      <c r="W143">
        <v>0</v>
      </c>
      <c r="X143">
        <v>2</v>
      </c>
      <c r="Y143">
        <v>0</v>
      </c>
      <c r="AA143">
        <v>0</v>
      </c>
      <c r="AB143">
        <v>8</v>
      </c>
      <c r="AC143">
        <v>3</v>
      </c>
      <c r="AD143">
        <v>0</v>
      </c>
      <c r="AE143">
        <v>9</v>
      </c>
      <c r="AF143" t="s">
        <v>126</v>
      </c>
      <c r="AG143">
        <v>0</v>
      </c>
      <c r="AH143">
        <v>0</v>
      </c>
      <c r="AI143">
        <v>2</v>
      </c>
      <c r="AJ143">
        <v>0</v>
      </c>
      <c r="AK143" t="s">
        <v>217</v>
      </c>
      <c r="AL143">
        <v>31.961846000000001</v>
      </c>
      <c r="AM143" t="s">
        <v>218</v>
      </c>
      <c r="AN143">
        <v>-101.140029</v>
      </c>
      <c r="AQ143" t="s">
        <v>129</v>
      </c>
      <c r="AR143">
        <v>-88</v>
      </c>
      <c r="AS143">
        <v>-3</v>
      </c>
      <c r="AT143">
        <v>-128</v>
      </c>
      <c r="BB143" t="str">
        <f t="shared" si="22"/>
        <v>1200</v>
      </c>
      <c r="BC143">
        <v>1</v>
      </c>
      <c r="BD143" t="str">
        <f t="shared" si="17"/>
        <v xml:space="preserve">N745MB  </v>
      </c>
      <c r="BE143">
        <v>1</v>
      </c>
      <c r="BG143">
        <v>0</v>
      </c>
      <c r="BH143">
        <v>0</v>
      </c>
      <c r="BI143">
        <v>0</v>
      </c>
      <c r="BL143" t="s">
        <v>130</v>
      </c>
      <c r="BM143">
        <v>1</v>
      </c>
      <c r="BN143">
        <v>0</v>
      </c>
      <c r="BO143">
        <v>0</v>
      </c>
      <c r="BP143">
        <v>0</v>
      </c>
      <c r="BT143">
        <v>0</v>
      </c>
      <c r="BU143">
        <v>0</v>
      </c>
      <c r="CE143" t="str">
        <f>"20:16:33.643"</f>
        <v>20:16:33.643</v>
      </c>
      <c r="CF143">
        <v>642747486</v>
      </c>
      <c r="CS143">
        <v>0</v>
      </c>
      <c r="CT143">
        <v>1</v>
      </c>
      <c r="CU143">
        <v>0</v>
      </c>
      <c r="CV143">
        <v>2</v>
      </c>
      <c r="CW143">
        <v>0</v>
      </c>
      <c r="CX143">
        <v>4</v>
      </c>
      <c r="CY143">
        <v>7</v>
      </c>
      <c r="CZ143" t="s">
        <v>131</v>
      </c>
      <c r="DA143">
        <v>116</v>
      </c>
      <c r="DB143">
        <v>3</v>
      </c>
      <c r="DC143" t="s">
        <v>132</v>
      </c>
      <c r="DD143" t="s">
        <v>133</v>
      </c>
      <c r="DG143">
        <v>8101742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1</v>
      </c>
      <c r="DQ143">
        <v>0</v>
      </c>
      <c r="DR143">
        <v>0</v>
      </c>
      <c r="DS143">
        <v>0</v>
      </c>
    </row>
    <row r="144" spans="1:123" x14ac:dyDescent="0.25">
      <c r="A144" t="str">
        <f>"11/29/2023 20:16:33.991"</f>
        <v>11/29/2023 20:16:33.991</v>
      </c>
      <c r="C144" t="str">
        <f t="shared" si="19"/>
        <v>FFDF53C0</v>
      </c>
      <c r="D144" t="s">
        <v>138</v>
      </c>
      <c r="E144">
        <v>3</v>
      </c>
      <c r="H144">
        <v>160</v>
      </c>
      <c r="I144" t="s">
        <v>124</v>
      </c>
      <c r="J144" t="s">
        <v>139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"20:16:33.641"</f>
        <v>20:16:33.641</v>
      </c>
      <c r="T144" t="str">
        <f>"20:16:33.541"</f>
        <v>20:16:33.541</v>
      </c>
      <c r="U144" t="str">
        <f t="shared" si="21"/>
        <v>AA0632</v>
      </c>
      <c r="V144">
        <v>0</v>
      </c>
      <c r="W144">
        <v>0</v>
      </c>
      <c r="X144">
        <v>2</v>
      </c>
      <c r="Y144">
        <v>0</v>
      </c>
      <c r="AA144">
        <v>0</v>
      </c>
      <c r="AB144">
        <v>8</v>
      </c>
      <c r="AC144">
        <v>3</v>
      </c>
      <c r="AD144">
        <v>0</v>
      </c>
      <c r="AE144">
        <v>9</v>
      </c>
      <c r="AF144" t="s">
        <v>126</v>
      </c>
      <c r="AG144">
        <v>0</v>
      </c>
      <c r="AH144">
        <v>0</v>
      </c>
      <c r="AI144">
        <v>2</v>
      </c>
      <c r="AJ144">
        <v>0</v>
      </c>
      <c r="AK144" t="s">
        <v>217</v>
      </c>
      <c r="AL144">
        <v>31.961846000000001</v>
      </c>
      <c r="AM144" t="s">
        <v>218</v>
      </c>
      <c r="AN144">
        <v>-101.140029</v>
      </c>
      <c r="AQ144" t="s">
        <v>129</v>
      </c>
      <c r="AR144">
        <v>-88</v>
      </c>
      <c r="AS144">
        <v>-3</v>
      </c>
      <c r="AT144">
        <v>-128</v>
      </c>
      <c r="BB144" t="str">
        <f t="shared" si="22"/>
        <v>1200</v>
      </c>
      <c r="BC144">
        <v>1</v>
      </c>
      <c r="BD144" t="str">
        <f t="shared" si="17"/>
        <v xml:space="preserve">N745MB  </v>
      </c>
      <c r="BE144">
        <v>1</v>
      </c>
      <c r="BG144">
        <v>0</v>
      </c>
      <c r="BH144">
        <v>0</v>
      </c>
      <c r="BI144">
        <v>0</v>
      </c>
      <c r="BL144" t="s">
        <v>130</v>
      </c>
      <c r="BM144">
        <v>1</v>
      </c>
      <c r="BN144">
        <v>0</v>
      </c>
      <c r="BO144">
        <v>0</v>
      </c>
      <c r="BP144">
        <v>0</v>
      </c>
      <c r="BT144">
        <v>0</v>
      </c>
      <c r="BU144">
        <v>0</v>
      </c>
      <c r="CE144" t="str">
        <f>"20:16:33.643"</f>
        <v>20:16:33.643</v>
      </c>
      <c r="CF144">
        <v>642747486</v>
      </c>
      <c r="CS144">
        <v>0</v>
      </c>
      <c r="CT144">
        <v>1</v>
      </c>
      <c r="CU144">
        <v>0</v>
      </c>
      <c r="CV144">
        <v>2</v>
      </c>
      <c r="CW144">
        <v>0</v>
      </c>
      <c r="CX144">
        <v>4</v>
      </c>
      <c r="CY144">
        <v>7</v>
      </c>
      <c r="CZ144" t="s">
        <v>131</v>
      </c>
      <c r="DA144">
        <v>116</v>
      </c>
      <c r="DB144">
        <v>3</v>
      </c>
      <c r="DC144" t="s">
        <v>132</v>
      </c>
      <c r="DD144" t="s">
        <v>133</v>
      </c>
      <c r="DG144">
        <v>8101742</v>
      </c>
      <c r="DI144">
        <v>0</v>
      </c>
      <c r="DJ144">
        <v>0</v>
      </c>
      <c r="DK144">
        <v>1</v>
      </c>
      <c r="DL144">
        <v>0</v>
      </c>
      <c r="DM144">
        <v>0</v>
      </c>
      <c r="DN144">
        <v>0</v>
      </c>
      <c r="DO144">
        <v>0</v>
      </c>
      <c r="DP144">
        <v>1</v>
      </c>
      <c r="DQ144">
        <v>0</v>
      </c>
      <c r="DR144">
        <v>0</v>
      </c>
      <c r="DS144">
        <v>0</v>
      </c>
    </row>
    <row r="145" spans="1:123" x14ac:dyDescent="0.25">
      <c r="A145" t="str">
        <f>"11/29/2023 20:16:33.991"</f>
        <v>11/29/2023 20:16:33.991</v>
      </c>
      <c r="C145" t="str">
        <f t="shared" si="19"/>
        <v>FFDF53C0</v>
      </c>
      <c r="D145" t="s">
        <v>135</v>
      </c>
      <c r="E145">
        <v>31</v>
      </c>
      <c r="H145">
        <v>285</v>
      </c>
      <c r="I145" t="s">
        <v>136</v>
      </c>
      <c r="J145" t="s">
        <v>137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"20:16:33.641"</f>
        <v>20:16:33.641</v>
      </c>
      <c r="T145" t="str">
        <f>"20:16:33.541"</f>
        <v>20:16:33.541</v>
      </c>
      <c r="U145" t="str">
        <f t="shared" si="21"/>
        <v>AA0632</v>
      </c>
      <c r="V145">
        <v>0</v>
      </c>
      <c r="W145">
        <v>0</v>
      </c>
      <c r="X145">
        <v>2</v>
      </c>
      <c r="Y145">
        <v>0</v>
      </c>
      <c r="AA145">
        <v>0</v>
      </c>
      <c r="AB145">
        <v>8</v>
      </c>
      <c r="AC145">
        <v>3</v>
      </c>
      <c r="AD145">
        <v>0</v>
      </c>
      <c r="AE145">
        <v>9</v>
      </c>
      <c r="AF145" t="s">
        <v>126</v>
      </c>
      <c r="AG145">
        <v>0</v>
      </c>
      <c r="AH145">
        <v>0</v>
      </c>
      <c r="AI145">
        <v>2</v>
      </c>
      <c r="AJ145">
        <v>0</v>
      </c>
      <c r="AK145" t="s">
        <v>217</v>
      </c>
      <c r="AL145">
        <v>31.961846000000001</v>
      </c>
      <c r="AM145" t="s">
        <v>218</v>
      </c>
      <c r="AN145">
        <v>-101.140029</v>
      </c>
      <c r="AQ145" t="s">
        <v>129</v>
      </c>
      <c r="AR145">
        <v>-88</v>
      </c>
      <c r="AS145">
        <v>-3</v>
      </c>
      <c r="AT145">
        <v>-128</v>
      </c>
      <c r="BB145" t="str">
        <f t="shared" si="22"/>
        <v>1200</v>
      </c>
      <c r="BC145">
        <v>1</v>
      </c>
      <c r="BD145" t="str">
        <f t="shared" si="17"/>
        <v xml:space="preserve">N745MB  </v>
      </c>
      <c r="BE145">
        <v>1</v>
      </c>
      <c r="BG145">
        <v>0</v>
      </c>
      <c r="BH145">
        <v>0</v>
      </c>
      <c r="BI145">
        <v>0</v>
      </c>
      <c r="BL145" t="s">
        <v>130</v>
      </c>
      <c r="BM145">
        <v>1</v>
      </c>
      <c r="BN145">
        <v>0</v>
      </c>
      <c r="BO145">
        <v>0</v>
      </c>
      <c r="BP145">
        <v>0</v>
      </c>
      <c r="BT145">
        <v>0</v>
      </c>
      <c r="BU145">
        <v>0</v>
      </c>
      <c r="CE145" t="str">
        <f>"20:16:33.643"</f>
        <v>20:16:33.643</v>
      </c>
      <c r="CF145">
        <v>642747486</v>
      </c>
      <c r="CS145">
        <v>0</v>
      </c>
      <c r="CT145">
        <v>1</v>
      </c>
      <c r="CU145">
        <v>0</v>
      </c>
      <c r="CV145">
        <v>2</v>
      </c>
      <c r="CW145">
        <v>0</v>
      </c>
      <c r="CX145">
        <v>4</v>
      </c>
      <c r="CY145">
        <v>7</v>
      </c>
      <c r="CZ145" t="s">
        <v>131</v>
      </c>
      <c r="DA145">
        <v>116</v>
      </c>
      <c r="DB145">
        <v>3</v>
      </c>
      <c r="DC145" t="s">
        <v>132</v>
      </c>
      <c r="DD145" t="s">
        <v>133</v>
      </c>
      <c r="DG145">
        <v>8101742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1</v>
      </c>
      <c r="DQ145">
        <v>0</v>
      </c>
      <c r="DR145">
        <v>0</v>
      </c>
      <c r="DS145">
        <v>0</v>
      </c>
    </row>
    <row r="146" spans="1:123" x14ac:dyDescent="0.25">
      <c r="A146" t="str">
        <f>"11/29/2023 20:16:33.991"</f>
        <v>11/29/2023 20:16:33.991</v>
      </c>
      <c r="C146" t="str">
        <f t="shared" ref="C146:C177" si="24">"FFDF53C0"</f>
        <v>FFDF53C0</v>
      </c>
      <c r="D146" t="s">
        <v>123</v>
      </c>
      <c r="E146">
        <v>14</v>
      </c>
      <c r="F146">
        <v>1014</v>
      </c>
      <c r="G146" t="s">
        <v>124</v>
      </c>
      <c r="J146" t="s">
        <v>125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"20:16:33.641"</f>
        <v>20:16:33.641</v>
      </c>
      <c r="T146" t="str">
        <f>"20:16:33.541"</f>
        <v>20:16:33.541</v>
      </c>
      <c r="U146" t="str">
        <f t="shared" si="21"/>
        <v>AA0632</v>
      </c>
      <c r="V146">
        <v>0</v>
      </c>
      <c r="W146">
        <v>0</v>
      </c>
      <c r="X146">
        <v>2</v>
      </c>
      <c r="Y146">
        <v>0</v>
      </c>
      <c r="AA146">
        <v>0</v>
      </c>
      <c r="AB146">
        <v>8</v>
      </c>
      <c r="AC146">
        <v>3</v>
      </c>
      <c r="AD146">
        <v>0</v>
      </c>
      <c r="AE146">
        <v>9</v>
      </c>
      <c r="AF146" t="s">
        <v>126</v>
      </c>
      <c r="AG146">
        <v>0</v>
      </c>
      <c r="AH146">
        <v>0</v>
      </c>
      <c r="AI146">
        <v>2</v>
      </c>
      <c r="AJ146">
        <v>0</v>
      </c>
      <c r="AK146" t="s">
        <v>217</v>
      </c>
      <c r="AL146">
        <v>31.961846000000001</v>
      </c>
      <c r="AM146" t="s">
        <v>218</v>
      </c>
      <c r="AN146">
        <v>-101.140029</v>
      </c>
      <c r="AQ146" t="s">
        <v>129</v>
      </c>
      <c r="AR146">
        <v>-88</v>
      </c>
      <c r="AS146">
        <v>-3</v>
      </c>
      <c r="AT146">
        <v>-128</v>
      </c>
      <c r="BB146" t="str">
        <f t="shared" si="22"/>
        <v>1200</v>
      </c>
      <c r="BC146">
        <v>1</v>
      </c>
      <c r="BD146" t="str">
        <f t="shared" ref="BD146:BD209" si="25">"N745MB  "</f>
        <v xml:space="preserve">N745MB  </v>
      </c>
      <c r="BE146">
        <v>1</v>
      </c>
      <c r="BG146">
        <v>0</v>
      </c>
      <c r="BH146">
        <v>0</v>
      </c>
      <c r="BI146">
        <v>0</v>
      </c>
      <c r="BL146" t="s">
        <v>130</v>
      </c>
      <c r="BM146">
        <v>1</v>
      </c>
      <c r="BN146">
        <v>0</v>
      </c>
      <c r="BO146">
        <v>0</v>
      </c>
      <c r="BP146">
        <v>0</v>
      </c>
      <c r="BT146">
        <v>0</v>
      </c>
      <c r="BU146">
        <v>0</v>
      </c>
      <c r="CE146" t="str">
        <f>"20:16:33.643"</f>
        <v>20:16:33.643</v>
      </c>
      <c r="CF146">
        <v>642747486</v>
      </c>
      <c r="CS146">
        <v>0</v>
      </c>
      <c r="CT146">
        <v>1</v>
      </c>
      <c r="CU146">
        <v>0</v>
      </c>
      <c r="CV146">
        <v>2</v>
      </c>
      <c r="CW146">
        <v>0</v>
      </c>
      <c r="CX146">
        <v>4</v>
      </c>
      <c r="CY146">
        <v>7</v>
      </c>
      <c r="CZ146" t="s">
        <v>131</v>
      </c>
      <c r="DA146">
        <v>116</v>
      </c>
      <c r="DB146">
        <v>3</v>
      </c>
      <c r="DC146" t="s">
        <v>132</v>
      </c>
      <c r="DD146" t="s">
        <v>133</v>
      </c>
      <c r="DG146">
        <v>8101742</v>
      </c>
      <c r="DI146">
        <v>0</v>
      </c>
      <c r="DJ146">
        <v>0</v>
      </c>
      <c r="DK146">
        <v>1</v>
      </c>
      <c r="DL146">
        <v>0</v>
      </c>
      <c r="DM146">
        <v>0</v>
      </c>
      <c r="DN146">
        <v>0</v>
      </c>
      <c r="DO146">
        <v>0</v>
      </c>
      <c r="DP146">
        <v>1</v>
      </c>
      <c r="DQ146">
        <v>0</v>
      </c>
      <c r="DR146">
        <v>0</v>
      </c>
      <c r="DS146">
        <v>0</v>
      </c>
    </row>
    <row r="147" spans="1:123" x14ac:dyDescent="0.25">
      <c r="A147" t="str">
        <f>"11/29/2023 20:16:35.444"</f>
        <v>11/29/2023 20:16:35.444</v>
      </c>
      <c r="C147" t="str">
        <f t="shared" si="24"/>
        <v>FFDF53C0</v>
      </c>
      <c r="D147" t="s">
        <v>123</v>
      </c>
      <c r="E147">
        <v>14</v>
      </c>
      <c r="F147">
        <v>1014</v>
      </c>
      <c r="G147" t="s">
        <v>124</v>
      </c>
      <c r="J147" t="s">
        <v>125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 t="shared" ref="S147:T150" si="26">"20:16:35.156"</f>
        <v>20:16:35.156</v>
      </c>
      <c r="T147" t="str">
        <f t="shared" si="26"/>
        <v>20:16:35.156</v>
      </c>
      <c r="U147" t="str">
        <f t="shared" si="21"/>
        <v>AA0632</v>
      </c>
      <c r="V147">
        <v>0</v>
      </c>
      <c r="W147">
        <v>0</v>
      </c>
      <c r="X147">
        <v>2</v>
      </c>
      <c r="Y147">
        <v>0</v>
      </c>
      <c r="AA147">
        <v>0</v>
      </c>
      <c r="AB147">
        <v>8</v>
      </c>
      <c r="AC147">
        <v>3</v>
      </c>
      <c r="AD147">
        <v>0</v>
      </c>
      <c r="AE147">
        <v>9</v>
      </c>
      <c r="AF147" t="s">
        <v>126</v>
      </c>
      <c r="AG147">
        <v>0</v>
      </c>
      <c r="AH147">
        <v>0</v>
      </c>
      <c r="AI147">
        <v>2</v>
      </c>
      <c r="AJ147">
        <v>0</v>
      </c>
      <c r="AK147" t="s">
        <v>199</v>
      </c>
      <c r="AL147">
        <v>31.961781999999999</v>
      </c>
      <c r="AM147" t="s">
        <v>219</v>
      </c>
      <c r="AN147">
        <v>-101.140759</v>
      </c>
      <c r="AQ147" t="s">
        <v>129</v>
      </c>
      <c r="AR147">
        <v>-88</v>
      </c>
      <c r="AS147">
        <v>-2</v>
      </c>
      <c r="AT147">
        <v>-256</v>
      </c>
      <c r="BB147" t="str">
        <f t="shared" si="22"/>
        <v>1200</v>
      </c>
      <c r="BC147">
        <v>1</v>
      </c>
      <c r="BD147" t="str">
        <f t="shared" si="25"/>
        <v xml:space="preserve">N745MB  </v>
      </c>
      <c r="BE147">
        <v>1</v>
      </c>
      <c r="BG147">
        <v>0</v>
      </c>
      <c r="BH147">
        <v>0</v>
      </c>
      <c r="BI147">
        <v>0</v>
      </c>
      <c r="BL147" t="s">
        <v>130</v>
      </c>
      <c r="BM147">
        <v>1</v>
      </c>
      <c r="BN147">
        <v>0</v>
      </c>
      <c r="BO147">
        <v>0</v>
      </c>
      <c r="BP147">
        <v>0</v>
      </c>
      <c r="BT147">
        <v>0</v>
      </c>
      <c r="BU147">
        <v>0</v>
      </c>
      <c r="CE147" t="str">
        <f>"20:16:35.159"</f>
        <v>20:16:35.159</v>
      </c>
      <c r="CF147">
        <v>158640625</v>
      </c>
      <c r="CS147">
        <v>0</v>
      </c>
      <c r="CT147">
        <v>1</v>
      </c>
      <c r="CU147">
        <v>0</v>
      </c>
      <c r="CV147">
        <v>2</v>
      </c>
      <c r="CW147">
        <v>0</v>
      </c>
      <c r="CX147">
        <v>2</v>
      </c>
      <c r="CY147">
        <v>7</v>
      </c>
      <c r="CZ147" t="s">
        <v>131</v>
      </c>
      <c r="DA147">
        <v>116</v>
      </c>
      <c r="DB147">
        <v>0</v>
      </c>
      <c r="DC147" t="s">
        <v>132</v>
      </c>
      <c r="DD147" t="s">
        <v>133</v>
      </c>
      <c r="DG147">
        <v>14174137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1</v>
      </c>
      <c r="DQ147">
        <v>0</v>
      </c>
      <c r="DR147">
        <v>0</v>
      </c>
      <c r="DS147">
        <v>0</v>
      </c>
    </row>
    <row r="148" spans="1:123" x14ac:dyDescent="0.25">
      <c r="A148" t="str">
        <f>"11/29/2023 20:16:35.538"</f>
        <v>11/29/2023 20:16:35.538</v>
      </c>
      <c r="C148" t="str">
        <f t="shared" si="24"/>
        <v>FFDF53C0</v>
      </c>
      <c r="D148" t="s">
        <v>135</v>
      </c>
      <c r="E148">
        <v>31</v>
      </c>
      <c r="H148">
        <v>285</v>
      </c>
      <c r="I148" t="s">
        <v>136</v>
      </c>
      <c r="J148" t="s">
        <v>137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 t="shared" si="26"/>
        <v>20:16:35.156</v>
      </c>
      <c r="T148" t="str">
        <f t="shared" si="26"/>
        <v>20:16:35.156</v>
      </c>
      <c r="U148" t="str">
        <f t="shared" si="21"/>
        <v>AA0632</v>
      </c>
      <c r="V148">
        <v>0</v>
      </c>
      <c r="W148">
        <v>0</v>
      </c>
      <c r="X148">
        <v>2</v>
      </c>
      <c r="Y148">
        <v>0</v>
      </c>
      <c r="AA148">
        <v>0</v>
      </c>
      <c r="AB148">
        <v>8</v>
      </c>
      <c r="AC148">
        <v>3</v>
      </c>
      <c r="AD148">
        <v>0</v>
      </c>
      <c r="AE148">
        <v>9</v>
      </c>
      <c r="AF148" t="s">
        <v>126</v>
      </c>
      <c r="AG148">
        <v>0</v>
      </c>
      <c r="AH148">
        <v>0</v>
      </c>
      <c r="AI148">
        <v>2</v>
      </c>
      <c r="AJ148">
        <v>0</v>
      </c>
      <c r="AK148" t="s">
        <v>199</v>
      </c>
      <c r="AL148">
        <v>31.961781999999999</v>
      </c>
      <c r="AM148" t="s">
        <v>219</v>
      </c>
      <c r="AN148">
        <v>-101.140759</v>
      </c>
      <c r="AQ148" t="s">
        <v>129</v>
      </c>
      <c r="AR148">
        <v>-88</v>
      </c>
      <c r="AS148">
        <v>-2</v>
      </c>
      <c r="AT148">
        <v>-256</v>
      </c>
      <c r="BB148" t="str">
        <f t="shared" si="22"/>
        <v>1200</v>
      </c>
      <c r="BC148">
        <v>1</v>
      </c>
      <c r="BD148" t="str">
        <f t="shared" si="25"/>
        <v xml:space="preserve">N745MB  </v>
      </c>
      <c r="BE148">
        <v>1</v>
      </c>
      <c r="BG148">
        <v>0</v>
      </c>
      <c r="BH148">
        <v>0</v>
      </c>
      <c r="BI148">
        <v>0</v>
      </c>
      <c r="BL148" t="s">
        <v>130</v>
      </c>
      <c r="BM148">
        <v>1</v>
      </c>
      <c r="BN148">
        <v>0</v>
      </c>
      <c r="BO148">
        <v>0</v>
      </c>
      <c r="BP148">
        <v>0</v>
      </c>
      <c r="BT148">
        <v>0</v>
      </c>
      <c r="BU148">
        <v>0</v>
      </c>
      <c r="CE148" t="str">
        <f>"20:16:35.159"</f>
        <v>20:16:35.159</v>
      </c>
      <c r="CF148">
        <v>158640625</v>
      </c>
      <c r="CS148">
        <v>0</v>
      </c>
      <c r="CT148">
        <v>1</v>
      </c>
      <c r="CU148">
        <v>0</v>
      </c>
      <c r="CV148">
        <v>2</v>
      </c>
      <c r="CW148">
        <v>0</v>
      </c>
      <c r="CX148">
        <v>2</v>
      </c>
      <c r="CY148">
        <v>7</v>
      </c>
      <c r="CZ148" t="s">
        <v>131</v>
      </c>
      <c r="DA148">
        <v>116</v>
      </c>
      <c r="DB148">
        <v>0</v>
      </c>
      <c r="DC148" t="s">
        <v>132</v>
      </c>
      <c r="DD148" t="s">
        <v>133</v>
      </c>
      <c r="DG148">
        <v>14174137</v>
      </c>
      <c r="DI148">
        <v>0</v>
      </c>
      <c r="DJ148">
        <v>0</v>
      </c>
      <c r="DK148">
        <v>1</v>
      </c>
      <c r="DL148">
        <v>0</v>
      </c>
      <c r="DM148">
        <v>0</v>
      </c>
      <c r="DN148">
        <v>0</v>
      </c>
      <c r="DO148">
        <v>0</v>
      </c>
      <c r="DP148">
        <v>1</v>
      </c>
      <c r="DQ148">
        <v>0</v>
      </c>
      <c r="DR148">
        <v>0</v>
      </c>
      <c r="DS148">
        <v>0</v>
      </c>
    </row>
    <row r="149" spans="1:123" x14ac:dyDescent="0.25">
      <c r="A149" t="str">
        <f>"11/29/2023 20:16:35.538"</f>
        <v>11/29/2023 20:16:35.538</v>
      </c>
      <c r="C149" t="str">
        <f t="shared" si="24"/>
        <v>FFDF53C0</v>
      </c>
      <c r="D149" t="s">
        <v>123</v>
      </c>
      <c r="E149">
        <v>1</v>
      </c>
      <c r="F149">
        <v>1001</v>
      </c>
      <c r="G149" t="s">
        <v>134</v>
      </c>
      <c r="J149" t="s">
        <v>125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 t="shared" si="26"/>
        <v>20:16:35.156</v>
      </c>
      <c r="T149" t="str">
        <f t="shared" si="26"/>
        <v>20:16:35.156</v>
      </c>
      <c r="U149" t="str">
        <f t="shared" si="21"/>
        <v>AA0632</v>
      </c>
      <c r="V149">
        <v>0</v>
      </c>
      <c r="W149">
        <v>0</v>
      </c>
      <c r="X149">
        <v>2</v>
      </c>
      <c r="Y149">
        <v>0</v>
      </c>
      <c r="AA149">
        <v>0</v>
      </c>
      <c r="AB149">
        <v>8</v>
      </c>
      <c r="AC149">
        <v>3</v>
      </c>
      <c r="AD149">
        <v>0</v>
      </c>
      <c r="AE149">
        <v>9</v>
      </c>
      <c r="AF149" t="s">
        <v>126</v>
      </c>
      <c r="AG149">
        <v>0</v>
      </c>
      <c r="AH149">
        <v>0</v>
      </c>
      <c r="AI149">
        <v>2</v>
      </c>
      <c r="AJ149">
        <v>0</v>
      </c>
      <c r="AK149" t="s">
        <v>199</v>
      </c>
      <c r="AL149">
        <v>31.961781999999999</v>
      </c>
      <c r="AM149" t="s">
        <v>219</v>
      </c>
      <c r="AN149">
        <v>-101.140759</v>
      </c>
      <c r="AQ149" t="s">
        <v>129</v>
      </c>
      <c r="AR149">
        <v>-88</v>
      </c>
      <c r="AS149">
        <v>-2</v>
      </c>
      <c r="AT149">
        <v>-256</v>
      </c>
      <c r="BB149" t="str">
        <f t="shared" si="22"/>
        <v>1200</v>
      </c>
      <c r="BC149">
        <v>1</v>
      </c>
      <c r="BD149" t="str">
        <f t="shared" si="25"/>
        <v xml:space="preserve">N745MB  </v>
      </c>
      <c r="BE149">
        <v>1</v>
      </c>
      <c r="BG149">
        <v>0</v>
      </c>
      <c r="BH149">
        <v>0</v>
      </c>
      <c r="BI149">
        <v>0</v>
      </c>
      <c r="BL149" t="s">
        <v>130</v>
      </c>
      <c r="BM149">
        <v>1</v>
      </c>
      <c r="BN149">
        <v>0</v>
      </c>
      <c r="BO149">
        <v>0</v>
      </c>
      <c r="BP149">
        <v>0</v>
      </c>
      <c r="BT149">
        <v>0</v>
      </c>
      <c r="BU149">
        <v>0</v>
      </c>
      <c r="CE149" t="str">
        <f>"20:16:35.159"</f>
        <v>20:16:35.159</v>
      </c>
      <c r="CF149">
        <v>158640625</v>
      </c>
      <c r="CS149">
        <v>0</v>
      </c>
      <c r="CT149">
        <v>1</v>
      </c>
      <c r="CU149">
        <v>0</v>
      </c>
      <c r="CV149">
        <v>2</v>
      </c>
      <c r="CW149">
        <v>0</v>
      </c>
      <c r="CX149">
        <v>2</v>
      </c>
      <c r="CY149">
        <v>7</v>
      </c>
      <c r="CZ149" t="s">
        <v>131</v>
      </c>
      <c r="DA149">
        <v>116</v>
      </c>
      <c r="DB149">
        <v>0</v>
      </c>
      <c r="DC149" t="s">
        <v>132</v>
      </c>
      <c r="DD149" t="s">
        <v>133</v>
      </c>
      <c r="DG149">
        <v>14174137</v>
      </c>
      <c r="DI149">
        <v>0</v>
      </c>
      <c r="DJ149">
        <v>0</v>
      </c>
      <c r="DK149">
        <v>1</v>
      </c>
      <c r="DL149">
        <v>0</v>
      </c>
      <c r="DM149">
        <v>0</v>
      </c>
      <c r="DN149">
        <v>0</v>
      </c>
      <c r="DO149">
        <v>0</v>
      </c>
      <c r="DP149">
        <v>1</v>
      </c>
      <c r="DQ149">
        <v>0</v>
      </c>
      <c r="DR149">
        <v>0</v>
      </c>
      <c r="DS149">
        <v>0</v>
      </c>
    </row>
    <row r="150" spans="1:123" x14ac:dyDescent="0.25">
      <c r="A150" t="str">
        <f>"11/29/2023 20:16:35.538"</f>
        <v>11/29/2023 20:16:35.538</v>
      </c>
      <c r="C150" t="str">
        <f t="shared" si="24"/>
        <v>FFDF53C0</v>
      </c>
      <c r="D150" t="s">
        <v>138</v>
      </c>
      <c r="E150">
        <v>3</v>
      </c>
      <c r="H150">
        <v>160</v>
      </c>
      <c r="I150" t="s">
        <v>124</v>
      </c>
      <c r="J150" t="s">
        <v>139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 t="shared" si="26"/>
        <v>20:16:35.156</v>
      </c>
      <c r="T150" t="str">
        <f t="shared" si="26"/>
        <v>20:16:35.156</v>
      </c>
      <c r="U150" t="str">
        <f t="shared" si="21"/>
        <v>AA0632</v>
      </c>
      <c r="V150">
        <v>0</v>
      </c>
      <c r="W150">
        <v>0</v>
      </c>
      <c r="X150">
        <v>2</v>
      </c>
      <c r="Y150">
        <v>0</v>
      </c>
      <c r="AA150">
        <v>0</v>
      </c>
      <c r="AB150">
        <v>8</v>
      </c>
      <c r="AC150">
        <v>3</v>
      </c>
      <c r="AD150">
        <v>0</v>
      </c>
      <c r="AE150">
        <v>9</v>
      </c>
      <c r="AF150" t="s">
        <v>126</v>
      </c>
      <c r="AG150">
        <v>0</v>
      </c>
      <c r="AH150">
        <v>0</v>
      </c>
      <c r="AI150">
        <v>2</v>
      </c>
      <c r="AJ150">
        <v>0</v>
      </c>
      <c r="AK150" t="s">
        <v>199</v>
      </c>
      <c r="AL150">
        <v>31.961781999999999</v>
      </c>
      <c r="AM150" t="s">
        <v>219</v>
      </c>
      <c r="AN150">
        <v>-101.140759</v>
      </c>
      <c r="AQ150" t="s">
        <v>129</v>
      </c>
      <c r="AR150">
        <v>-88</v>
      </c>
      <c r="AS150">
        <v>-2</v>
      </c>
      <c r="AT150">
        <v>-256</v>
      </c>
      <c r="BB150" t="str">
        <f t="shared" si="22"/>
        <v>1200</v>
      </c>
      <c r="BC150">
        <v>1</v>
      </c>
      <c r="BD150" t="str">
        <f t="shared" si="25"/>
        <v xml:space="preserve">N745MB  </v>
      </c>
      <c r="BE150">
        <v>1</v>
      </c>
      <c r="BG150">
        <v>0</v>
      </c>
      <c r="BH150">
        <v>0</v>
      </c>
      <c r="BI150">
        <v>0</v>
      </c>
      <c r="BL150" t="s">
        <v>130</v>
      </c>
      <c r="BM150">
        <v>1</v>
      </c>
      <c r="BN150">
        <v>0</v>
      </c>
      <c r="BO150">
        <v>0</v>
      </c>
      <c r="BP150">
        <v>0</v>
      </c>
      <c r="BT150">
        <v>0</v>
      </c>
      <c r="BU150">
        <v>0</v>
      </c>
      <c r="CE150" t="str">
        <f>"20:16:35.159"</f>
        <v>20:16:35.159</v>
      </c>
      <c r="CF150">
        <v>158640625</v>
      </c>
      <c r="CS150">
        <v>0</v>
      </c>
      <c r="CT150">
        <v>1</v>
      </c>
      <c r="CU150">
        <v>0</v>
      </c>
      <c r="CV150">
        <v>2</v>
      </c>
      <c r="CW150">
        <v>0</v>
      </c>
      <c r="CX150">
        <v>2</v>
      </c>
      <c r="CY150">
        <v>7</v>
      </c>
      <c r="CZ150" t="s">
        <v>131</v>
      </c>
      <c r="DA150">
        <v>116</v>
      </c>
      <c r="DB150">
        <v>0</v>
      </c>
      <c r="DC150" t="s">
        <v>132</v>
      </c>
      <c r="DD150" t="s">
        <v>133</v>
      </c>
      <c r="DG150">
        <v>14174137</v>
      </c>
      <c r="DI150">
        <v>0</v>
      </c>
      <c r="DJ150">
        <v>0</v>
      </c>
      <c r="DK150">
        <v>1</v>
      </c>
      <c r="DL150">
        <v>0</v>
      </c>
      <c r="DM150">
        <v>0</v>
      </c>
      <c r="DN150">
        <v>0</v>
      </c>
      <c r="DO150">
        <v>0</v>
      </c>
      <c r="DP150">
        <v>1</v>
      </c>
      <c r="DQ150">
        <v>0</v>
      </c>
      <c r="DR150">
        <v>0</v>
      </c>
      <c r="DS150">
        <v>0</v>
      </c>
    </row>
    <row r="151" spans="1:123" x14ac:dyDescent="0.25">
      <c r="A151" t="str">
        <f>"11/29/2023 20:16:36.569"</f>
        <v>11/29/2023 20:16:36.569</v>
      </c>
      <c r="C151" t="str">
        <f t="shared" si="24"/>
        <v>FFDF53C0</v>
      </c>
      <c r="D151" t="s">
        <v>123</v>
      </c>
      <c r="E151">
        <v>14</v>
      </c>
      <c r="F151">
        <v>1014</v>
      </c>
      <c r="G151" t="s">
        <v>124</v>
      </c>
      <c r="J151" t="s">
        <v>125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"20:16:36.063"</f>
        <v>20:16:36.063</v>
      </c>
      <c r="T151" t="str">
        <f>"20:16:34.063"</f>
        <v>20:16:34.063</v>
      </c>
      <c r="U151" t="str">
        <f t="shared" si="21"/>
        <v>AA0632</v>
      </c>
      <c r="V151">
        <v>0</v>
      </c>
      <c r="W151">
        <v>0</v>
      </c>
      <c r="X151">
        <v>2</v>
      </c>
      <c r="Y151">
        <v>0</v>
      </c>
      <c r="AA151">
        <v>0</v>
      </c>
      <c r="AB151">
        <v>8</v>
      </c>
      <c r="AC151">
        <v>3</v>
      </c>
      <c r="AD151">
        <v>0</v>
      </c>
      <c r="AE151">
        <v>9</v>
      </c>
      <c r="AF151" t="s">
        <v>126</v>
      </c>
      <c r="AG151">
        <v>0</v>
      </c>
      <c r="AH151">
        <v>0</v>
      </c>
      <c r="AI151">
        <v>2</v>
      </c>
      <c r="AJ151">
        <v>0</v>
      </c>
      <c r="AK151" t="s">
        <v>199</v>
      </c>
      <c r="AL151">
        <v>31.961781999999999</v>
      </c>
      <c r="AM151" t="s">
        <v>220</v>
      </c>
      <c r="AN151">
        <v>-101.141188</v>
      </c>
      <c r="AQ151" t="s">
        <v>129</v>
      </c>
      <c r="AR151">
        <v>-88</v>
      </c>
      <c r="AS151">
        <v>-3</v>
      </c>
      <c r="AT151">
        <v>-256</v>
      </c>
      <c r="BB151" t="str">
        <f t="shared" si="22"/>
        <v>1200</v>
      </c>
      <c r="BC151">
        <v>1</v>
      </c>
      <c r="BD151" t="str">
        <f t="shared" si="25"/>
        <v xml:space="preserve">N745MB  </v>
      </c>
      <c r="BE151">
        <v>1</v>
      </c>
      <c r="BG151">
        <v>0</v>
      </c>
      <c r="BH151">
        <v>0</v>
      </c>
      <c r="BI151">
        <v>0</v>
      </c>
      <c r="BL151" t="s">
        <v>130</v>
      </c>
      <c r="BM151">
        <v>1</v>
      </c>
      <c r="BN151">
        <v>0</v>
      </c>
      <c r="BO151">
        <v>0</v>
      </c>
      <c r="BP151">
        <v>0</v>
      </c>
      <c r="BT151">
        <v>0</v>
      </c>
      <c r="BU151">
        <v>0</v>
      </c>
      <c r="CE151" t="str">
        <f>"20:16:36.069"</f>
        <v>20:16:36.069</v>
      </c>
      <c r="CF151">
        <v>68595092</v>
      </c>
      <c r="CS151">
        <v>0</v>
      </c>
      <c r="CT151">
        <v>1</v>
      </c>
      <c r="CU151">
        <v>0</v>
      </c>
      <c r="CV151">
        <v>2</v>
      </c>
      <c r="CW151">
        <v>0</v>
      </c>
      <c r="CX151">
        <v>2</v>
      </c>
      <c r="CY151">
        <v>7</v>
      </c>
      <c r="CZ151" t="s">
        <v>131</v>
      </c>
      <c r="DA151">
        <v>483</v>
      </c>
      <c r="DB151">
        <v>1</v>
      </c>
      <c r="DC151" t="s">
        <v>169</v>
      </c>
      <c r="DD151" t="s">
        <v>170</v>
      </c>
      <c r="DG151">
        <v>7293461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1</v>
      </c>
      <c r="DQ151">
        <v>0</v>
      </c>
      <c r="DR151">
        <v>0</v>
      </c>
      <c r="DS151">
        <v>0</v>
      </c>
    </row>
    <row r="152" spans="1:123" x14ac:dyDescent="0.25">
      <c r="A152" t="str">
        <f>"11/29/2023 20:16:36.648"</f>
        <v>11/29/2023 20:16:36.648</v>
      </c>
      <c r="C152" t="str">
        <f t="shared" si="24"/>
        <v>FFDF53C0</v>
      </c>
      <c r="D152" t="s">
        <v>138</v>
      </c>
      <c r="E152">
        <v>3</v>
      </c>
      <c r="H152">
        <v>160</v>
      </c>
      <c r="I152" t="s">
        <v>124</v>
      </c>
      <c r="J152" t="s">
        <v>139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"20:16:36.063"</f>
        <v>20:16:36.063</v>
      </c>
      <c r="T152" t="str">
        <f>"20:16:34.063"</f>
        <v>20:16:34.063</v>
      </c>
      <c r="U152" t="str">
        <f t="shared" si="21"/>
        <v>AA0632</v>
      </c>
      <c r="V152">
        <v>0</v>
      </c>
      <c r="W152">
        <v>0</v>
      </c>
      <c r="X152">
        <v>2</v>
      </c>
      <c r="Y152">
        <v>0</v>
      </c>
      <c r="AA152">
        <v>0</v>
      </c>
      <c r="AB152">
        <v>8</v>
      </c>
      <c r="AC152">
        <v>3</v>
      </c>
      <c r="AD152">
        <v>0</v>
      </c>
      <c r="AE152">
        <v>9</v>
      </c>
      <c r="AF152" t="s">
        <v>126</v>
      </c>
      <c r="AG152">
        <v>0</v>
      </c>
      <c r="AH152">
        <v>0</v>
      </c>
      <c r="AI152">
        <v>2</v>
      </c>
      <c r="AJ152">
        <v>0</v>
      </c>
      <c r="AK152" t="s">
        <v>199</v>
      </c>
      <c r="AL152">
        <v>31.961781999999999</v>
      </c>
      <c r="AM152" t="s">
        <v>220</v>
      </c>
      <c r="AN152">
        <v>-101.141188</v>
      </c>
      <c r="AQ152" t="s">
        <v>129</v>
      </c>
      <c r="AR152">
        <v>-88</v>
      </c>
      <c r="AS152">
        <v>-3</v>
      </c>
      <c r="AT152">
        <v>-256</v>
      </c>
      <c r="BB152" t="str">
        <f t="shared" si="22"/>
        <v>1200</v>
      </c>
      <c r="BC152">
        <v>1</v>
      </c>
      <c r="BD152" t="str">
        <f t="shared" si="25"/>
        <v xml:space="preserve">N745MB  </v>
      </c>
      <c r="BE152">
        <v>1</v>
      </c>
      <c r="BG152">
        <v>0</v>
      </c>
      <c r="BH152">
        <v>0</v>
      </c>
      <c r="BI152">
        <v>0</v>
      </c>
      <c r="BL152" t="s">
        <v>130</v>
      </c>
      <c r="BM152">
        <v>1</v>
      </c>
      <c r="BN152">
        <v>0</v>
      </c>
      <c r="BO152">
        <v>0</v>
      </c>
      <c r="BP152">
        <v>0</v>
      </c>
      <c r="BT152">
        <v>0</v>
      </c>
      <c r="BU152">
        <v>0</v>
      </c>
      <c r="CE152" t="str">
        <f>"20:16:36.069"</f>
        <v>20:16:36.069</v>
      </c>
      <c r="CF152">
        <v>68595092</v>
      </c>
      <c r="CS152">
        <v>0</v>
      </c>
      <c r="CT152">
        <v>1</v>
      </c>
      <c r="CU152">
        <v>0</v>
      </c>
      <c r="CV152">
        <v>2</v>
      </c>
      <c r="CW152">
        <v>0</v>
      </c>
      <c r="CX152">
        <v>2</v>
      </c>
      <c r="CY152">
        <v>7</v>
      </c>
      <c r="CZ152" t="s">
        <v>131</v>
      </c>
      <c r="DA152">
        <v>483</v>
      </c>
      <c r="DB152">
        <v>1</v>
      </c>
      <c r="DC152" t="s">
        <v>169</v>
      </c>
      <c r="DD152" t="s">
        <v>170</v>
      </c>
      <c r="DG152">
        <v>7293461</v>
      </c>
      <c r="DI152">
        <v>0</v>
      </c>
      <c r="DJ152">
        <v>0</v>
      </c>
      <c r="DK152">
        <v>1</v>
      </c>
      <c r="DL152">
        <v>0</v>
      </c>
      <c r="DM152">
        <v>0</v>
      </c>
      <c r="DN152">
        <v>0</v>
      </c>
      <c r="DO152">
        <v>0</v>
      </c>
      <c r="DP152">
        <v>1</v>
      </c>
      <c r="DQ152">
        <v>0</v>
      </c>
      <c r="DR152">
        <v>0</v>
      </c>
      <c r="DS152">
        <v>0</v>
      </c>
    </row>
    <row r="153" spans="1:123" x14ac:dyDescent="0.25">
      <c r="A153" t="str">
        <f>"11/29/2023 20:16:37.741"</f>
        <v>11/29/2023 20:16:37.741</v>
      </c>
      <c r="C153" t="str">
        <f t="shared" si="24"/>
        <v>FFDF53C0</v>
      </c>
      <c r="D153" t="s">
        <v>123</v>
      </c>
      <c r="E153">
        <v>14</v>
      </c>
      <c r="F153">
        <v>1014</v>
      </c>
      <c r="G153" t="s">
        <v>124</v>
      </c>
      <c r="J153" t="s">
        <v>125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"20:16:37.117"</f>
        <v>20:16:37.117</v>
      </c>
      <c r="T153" t="str">
        <f>"20:16:34.117"</f>
        <v>20:16:34.117</v>
      </c>
      <c r="U153" t="str">
        <f t="shared" si="21"/>
        <v>AA0632</v>
      </c>
      <c r="V153">
        <v>0</v>
      </c>
      <c r="W153">
        <v>0</v>
      </c>
      <c r="X153">
        <v>2</v>
      </c>
      <c r="Y153">
        <v>0</v>
      </c>
      <c r="AA153">
        <v>0</v>
      </c>
      <c r="AB153">
        <v>8</v>
      </c>
      <c r="AC153">
        <v>3</v>
      </c>
      <c r="AD153">
        <v>0</v>
      </c>
      <c r="AE153">
        <v>9</v>
      </c>
      <c r="AF153" t="s">
        <v>126</v>
      </c>
      <c r="AG153">
        <v>0</v>
      </c>
      <c r="AH153">
        <v>0</v>
      </c>
      <c r="AI153">
        <v>2</v>
      </c>
      <c r="AJ153">
        <v>0</v>
      </c>
      <c r="AK153" t="s">
        <v>199</v>
      </c>
      <c r="AL153">
        <v>31.961781999999999</v>
      </c>
      <c r="AM153" t="s">
        <v>221</v>
      </c>
      <c r="AN153">
        <v>-101.14170300000001</v>
      </c>
      <c r="AQ153" t="s">
        <v>129</v>
      </c>
      <c r="AR153">
        <v>-88</v>
      </c>
      <c r="AS153">
        <v>-3</v>
      </c>
      <c r="AT153">
        <v>-256</v>
      </c>
      <c r="BB153" t="str">
        <f t="shared" si="22"/>
        <v>1200</v>
      </c>
      <c r="BC153">
        <v>1</v>
      </c>
      <c r="BD153" t="str">
        <f t="shared" si="25"/>
        <v xml:space="preserve">N745MB  </v>
      </c>
      <c r="BE153">
        <v>1</v>
      </c>
      <c r="BG153">
        <v>0</v>
      </c>
      <c r="BH153">
        <v>0</v>
      </c>
      <c r="BI153">
        <v>0</v>
      </c>
      <c r="BL153" t="s">
        <v>130</v>
      </c>
      <c r="BM153">
        <v>1</v>
      </c>
      <c r="BN153">
        <v>0</v>
      </c>
      <c r="BO153">
        <v>0</v>
      </c>
      <c r="BP153">
        <v>0</v>
      </c>
      <c r="BT153">
        <v>0</v>
      </c>
      <c r="BU153">
        <v>0</v>
      </c>
      <c r="CE153" t="str">
        <f>"20:16:37.121"</f>
        <v>20:16:37.121</v>
      </c>
      <c r="CF153">
        <v>120520275</v>
      </c>
      <c r="CS153">
        <v>0</v>
      </c>
      <c r="CT153">
        <v>1</v>
      </c>
      <c r="CU153">
        <v>0</v>
      </c>
      <c r="CV153">
        <v>2</v>
      </c>
      <c r="CW153">
        <v>0</v>
      </c>
      <c r="CX153">
        <v>2</v>
      </c>
      <c r="CY153">
        <v>7</v>
      </c>
      <c r="CZ153" t="s">
        <v>131</v>
      </c>
      <c r="DA153">
        <v>483</v>
      </c>
      <c r="DB153">
        <v>1</v>
      </c>
      <c r="DC153" t="s">
        <v>169</v>
      </c>
      <c r="DD153" t="s">
        <v>170</v>
      </c>
      <c r="DG153">
        <v>7293624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1</v>
      </c>
      <c r="DQ153">
        <v>0</v>
      </c>
      <c r="DR153">
        <v>0</v>
      </c>
      <c r="DS153">
        <v>0</v>
      </c>
    </row>
    <row r="154" spans="1:123" x14ac:dyDescent="0.25">
      <c r="A154" t="str">
        <f>"11/29/2023 20:16:37.741"</f>
        <v>11/29/2023 20:16:37.741</v>
      </c>
      <c r="C154" t="str">
        <f t="shared" si="24"/>
        <v>FFDF53C0</v>
      </c>
      <c r="D154" t="s">
        <v>138</v>
      </c>
      <c r="E154">
        <v>3</v>
      </c>
      <c r="H154">
        <v>160</v>
      </c>
      <c r="I154" t="s">
        <v>124</v>
      </c>
      <c r="J154" t="s">
        <v>139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"20:16:37.117"</f>
        <v>20:16:37.117</v>
      </c>
      <c r="T154" t="str">
        <f>"20:16:34.117"</f>
        <v>20:16:34.117</v>
      </c>
      <c r="U154" t="str">
        <f t="shared" si="21"/>
        <v>AA0632</v>
      </c>
      <c r="V154">
        <v>0</v>
      </c>
      <c r="W154">
        <v>0</v>
      </c>
      <c r="X154">
        <v>2</v>
      </c>
      <c r="Y154">
        <v>0</v>
      </c>
      <c r="AA154">
        <v>0</v>
      </c>
      <c r="AB154">
        <v>8</v>
      </c>
      <c r="AC154">
        <v>3</v>
      </c>
      <c r="AD154">
        <v>0</v>
      </c>
      <c r="AE154">
        <v>9</v>
      </c>
      <c r="AF154" t="s">
        <v>126</v>
      </c>
      <c r="AG154">
        <v>0</v>
      </c>
      <c r="AH154">
        <v>0</v>
      </c>
      <c r="AI154">
        <v>2</v>
      </c>
      <c r="AJ154">
        <v>0</v>
      </c>
      <c r="AK154" t="s">
        <v>199</v>
      </c>
      <c r="AL154">
        <v>31.961781999999999</v>
      </c>
      <c r="AM154" t="s">
        <v>221</v>
      </c>
      <c r="AN154">
        <v>-101.14170300000001</v>
      </c>
      <c r="AQ154" t="s">
        <v>129</v>
      </c>
      <c r="AR154">
        <v>-88</v>
      </c>
      <c r="AS154">
        <v>-3</v>
      </c>
      <c r="AT154">
        <v>-256</v>
      </c>
      <c r="BB154" t="str">
        <f t="shared" si="22"/>
        <v>1200</v>
      </c>
      <c r="BC154">
        <v>1</v>
      </c>
      <c r="BD154" t="str">
        <f t="shared" si="25"/>
        <v xml:space="preserve">N745MB  </v>
      </c>
      <c r="BE154">
        <v>1</v>
      </c>
      <c r="BG154">
        <v>0</v>
      </c>
      <c r="BH154">
        <v>0</v>
      </c>
      <c r="BI154">
        <v>0</v>
      </c>
      <c r="BL154" t="s">
        <v>130</v>
      </c>
      <c r="BM154">
        <v>1</v>
      </c>
      <c r="BN154">
        <v>0</v>
      </c>
      <c r="BO154">
        <v>0</v>
      </c>
      <c r="BP154">
        <v>0</v>
      </c>
      <c r="BT154">
        <v>0</v>
      </c>
      <c r="BU154">
        <v>0</v>
      </c>
      <c r="CE154" t="str">
        <f>"20:16:37.121"</f>
        <v>20:16:37.121</v>
      </c>
      <c r="CF154">
        <v>120520275</v>
      </c>
      <c r="CS154">
        <v>0</v>
      </c>
      <c r="CT154">
        <v>1</v>
      </c>
      <c r="CU154">
        <v>0</v>
      </c>
      <c r="CV154">
        <v>2</v>
      </c>
      <c r="CW154">
        <v>0</v>
      </c>
      <c r="CX154">
        <v>2</v>
      </c>
      <c r="CY154">
        <v>7</v>
      </c>
      <c r="CZ154" t="s">
        <v>131</v>
      </c>
      <c r="DA154">
        <v>483</v>
      </c>
      <c r="DB154">
        <v>1</v>
      </c>
      <c r="DC154" t="s">
        <v>169</v>
      </c>
      <c r="DD154" t="s">
        <v>170</v>
      </c>
      <c r="DG154">
        <v>7293624</v>
      </c>
      <c r="DI154">
        <v>0</v>
      </c>
      <c r="DJ154">
        <v>0</v>
      </c>
      <c r="DK154">
        <v>1</v>
      </c>
      <c r="DL154">
        <v>0</v>
      </c>
      <c r="DM154">
        <v>0</v>
      </c>
      <c r="DN154">
        <v>0</v>
      </c>
      <c r="DO154">
        <v>0</v>
      </c>
      <c r="DP154">
        <v>1</v>
      </c>
      <c r="DQ154">
        <v>0</v>
      </c>
      <c r="DR154">
        <v>0</v>
      </c>
      <c r="DS154">
        <v>0</v>
      </c>
    </row>
    <row r="155" spans="1:123" x14ac:dyDescent="0.25">
      <c r="A155" t="str">
        <f>"11/29/2023 20:16:39.179"</f>
        <v>11/29/2023 20:16:39.179</v>
      </c>
      <c r="C155" t="str">
        <f t="shared" si="24"/>
        <v>FFDF53C0</v>
      </c>
      <c r="D155" t="s">
        <v>123</v>
      </c>
      <c r="E155">
        <v>14</v>
      </c>
      <c r="F155">
        <v>1014</v>
      </c>
      <c r="G155" t="s">
        <v>124</v>
      </c>
      <c r="J155" t="s">
        <v>125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 t="shared" ref="S155:T158" si="27">"20:16:38.711"</f>
        <v>20:16:38.711</v>
      </c>
      <c r="T155" t="str">
        <f t="shared" si="27"/>
        <v>20:16:38.711</v>
      </c>
      <c r="U155" t="str">
        <f t="shared" si="21"/>
        <v>AA0632</v>
      </c>
      <c r="V155">
        <v>0</v>
      </c>
      <c r="W155">
        <v>0</v>
      </c>
      <c r="X155">
        <v>2</v>
      </c>
      <c r="Y155">
        <v>0</v>
      </c>
      <c r="AA155">
        <v>0</v>
      </c>
      <c r="AB155">
        <v>8</v>
      </c>
      <c r="AC155">
        <v>3</v>
      </c>
      <c r="AD155">
        <v>0</v>
      </c>
      <c r="AE155">
        <v>9</v>
      </c>
      <c r="AF155" t="s">
        <v>126</v>
      </c>
      <c r="AG155">
        <v>0</v>
      </c>
      <c r="AH155">
        <v>0</v>
      </c>
      <c r="AI155">
        <v>2</v>
      </c>
      <c r="AJ155">
        <v>0</v>
      </c>
      <c r="AK155" t="s">
        <v>199</v>
      </c>
      <c r="AL155">
        <v>31.961781999999999</v>
      </c>
      <c r="AM155" t="s">
        <v>222</v>
      </c>
      <c r="AN155">
        <v>-101.14249700000001</v>
      </c>
      <c r="AQ155" t="s">
        <v>129</v>
      </c>
      <c r="AR155">
        <v>-89</v>
      </c>
      <c r="AS155">
        <v>0</v>
      </c>
      <c r="AT155">
        <v>-256</v>
      </c>
      <c r="BB155" t="str">
        <f t="shared" si="22"/>
        <v>1200</v>
      </c>
      <c r="BC155">
        <v>1</v>
      </c>
      <c r="BD155" t="str">
        <f t="shared" si="25"/>
        <v xml:space="preserve">N745MB  </v>
      </c>
      <c r="BE155">
        <v>1</v>
      </c>
      <c r="BG155">
        <v>0</v>
      </c>
      <c r="BH155">
        <v>0</v>
      </c>
      <c r="BI155">
        <v>0</v>
      </c>
      <c r="BL155" t="s">
        <v>130</v>
      </c>
      <c r="BM155">
        <v>1</v>
      </c>
      <c r="BN155">
        <v>0</v>
      </c>
      <c r="BO155">
        <v>0</v>
      </c>
      <c r="BP155">
        <v>0</v>
      </c>
      <c r="BT155">
        <v>0</v>
      </c>
      <c r="BU155">
        <v>0</v>
      </c>
      <c r="CE155" t="str">
        <f>"20:16:38.716"</f>
        <v>20:16:38.716</v>
      </c>
      <c r="CF155">
        <v>716396265</v>
      </c>
      <c r="CS155">
        <v>0</v>
      </c>
      <c r="CT155">
        <v>1</v>
      </c>
      <c r="CU155">
        <v>0</v>
      </c>
      <c r="CV155">
        <v>2</v>
      </c>
      <c r="CW155">
        <v>0</v>
      </c>
      <c r="CX155">
        <v>1</v>
      </c>
      <c r="CY155">
        <v>7</v>
      </c>
      <c r="CZ155" t="s">
        <v>131</v>
      </c>
      <c r="DA155">
        <v>116</v>
      </c>
      <c r="DB155">
        <v>3</v>
      </c>
      <c r="DC155" t="s">
        <v>132</v>
      </c>
      <c r="DD155" t="s">
        <v>133</v>
      </c>
      <c r="DG155">
        <v>8104713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1</v>
      </c>
      <c r="DQ155">
        <v>0</v>
      </c>
      <c r="DR155">
        <v>0</v>
      </c>
      <c r="DS155">
        <v>0</v>
      </c>
    </row>
    <row r="156" spans="1:123" x14ac:dyDescent="0.25">
      <c r="A156" t="str">
        <f>"11/29/2023 20:16:39.194"</f>
        <v>11/29/2023 20:16:39.194</v>
      </c>
      <c r="C156" t="str">
        <f t="shared" si="24"/>
        <v>FFDF53C0</v>
      </c>
      <c r="D156" t="s">
        <v>135</v>
      </c>
      <c r="E156">
        <v>31</v>
      </c>
      <c r="H156">
        <v>285</v>
      </c>
      <c r="I156" t="s">
        <v>136</v>
      </c>
      <c r="J156" t="s">
        <v>137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 t="shared" si="27"/>
        <v>20:16:38.711</v>
      </c>
      <c r="T156" t="str">
        <f t="shared" si="27"/>
        <v>20:16:38.711</v>
      </c>
      <c r="U156" t="str">
        <f t="shared" si="21"/>
        <v>AA0632</v>
      </c>
      <c r="V156">
        <v>0</v>
      </c>
      <c r="W156">
        <v>0</v>
      </c>
      <c r="X156">
        <v>2</v>
      </c>
      <c r="Y156">
        <v>0</v>
      </c>
      <c r="AA156">
        <v>0</v>
      </c>
      <c r="AB156">
        <v>8</v>
      </c>
      <c r="AC156">
        <v>3</v>
      </c>
      <c r="AD156">
        <v>0</v>
      </c>
      <c r="AE156">
        <v>9</v>
      </c>
      <c r="AF156" t="s">
        <v>126</v>
      </c>
      <c r="AG156">
        <v>0</v>
      </c>
      <c r="AH156">
        <v>0</v>
      </c>
      <c r="AI156">
        <v>2</v>
      </c>
      <c r="AJ156">
        <v>0</v>
      </c>
      <c r="AK156" t="s">
        <v>199</v>
      </c>
      <c r="AL156">
        <v>31.961781999999999</v>
      </c>
      <c r="AM156" t="s">
        <v>222</v>
      </c>
      <c r="AN156">
        <v>-101.14249700000001</v>
      </c>
      <c r="AQ156" t="s">
        <v>129</v>
      </c>
      <c r="AR156">
        <v>-89</v>
      </c>
      <c r="AS156">
        <v>0</v>
      </c>
      <c r="AT156">
        <v>-256</v>
      </c>
      <c r="BB156" t="str">
        <f t="shared" si="22"/>
        <v>1200</v>
      </c>
      <c r="BC156">
        <v>1</v>
      </c>
      <c r="BD156" t="str">
        <f t="shared" si="25"/>
        <v xml:space="preserve">N745MB  </v>
      </c>
      <c r="BE156">
        <v>1</v>
      </c>
      <c r="BG156">
        <v>0</v>
      </c>
      <c r="BH156">
        <v>0</v>
      </c>
      <c r="BI156">
        <v>0</v>
      </c>
      <c r="BL156" t="s">
        <v>130</v>
      </c>
      <c r="BM156">
        <v>1</v>
      </c>
      <c r="BN156">
        <v>0</v>
      </c>
      <c r="BO156">
        <v>0</v>
      </c>
      <c r="BP156">
        <v>0</v>
      </c>
      <c r="BT156">
        <v>0</v>
      </c>
      <c r="BU156">
        <v>0</v>
      </c>
      <c r="CE156" t="str">
        <f>"20:16:38.716"</f>
        <v>20:16:38.716</v>
      </c>
      <c r="CF156">
        <v>716396265</v>
      </c>
      <c r="CS156">
        <v>0</v>
      </c>
      <c r="CT156">
        <v>1</v>
      </c>
      <c r="CU156">
        <v>0</v>
      </c>
      <c r="CV156">
        <v>2</v>
      </c>
      <c r="CW156">
        <v>0</v>
      </c>
      <c r="CX156">
        <v>1</v>
      </c>
      <c r="CY156">
        <v>7</v>
      </c>
      <c r="CZ156" t="s">
        <v>131</v>
      </c>
      <c r="DA156">
        <v>116</v>
      </c>
      <c r="DB156">
        <v>3</v>
      </c>
      <c r="DC156" t="s">
        <v>132</v>
      </c>
      <c r="DD156" t="s">
        <v>133</v>
      </c>
      <c r="DG156">
        <v>8104713</v>
      </c>
      <c r="DI156">
        <v>0</v>
      </c>
      <c r="DJ156">
        <v>0</v>
      </c>
      <c r="DK156">
        <v>1</v>
      </c>
      <c r="DL156">
        <v>0</v>
      </c>
      <c r="DM156">
        <v>0</v>
      </c>
      <c r="DN156">
        <v>0</v>
      </c>
      <c r="DO156">
        <v>0</v>
      </c>
      <c r="DP156">
        <v>1</v>
      </c>
      <c r="DQ156">
        <v>0</v>
      </c>
      <c r="DR156">
        <v>0</v>
      </c>
      <c r="DS156">
        <v>0</v>
      </c>
    </row>
    <row r="157" spans="1:123" x14ac:dyDescent="0.25">
      <c r="A157" t="str">
        <f>"11/29/2023 20:16:39.194"</f>
        <v>11/29/2023 20:16:39.194</v>
      </c>
      <c r="C157" t="str">
        <f t="shared" si="24"/>
        <v>FFDF53C0</v>
      </c>
      <c r="D157" t="s">
        <v>123</v>
      </c>
      <c r="E157">
        <v>1</v>
      </c>
      <c r="F157">
        <v>1001</v>
      </c>
      <c r="G157" t="s">
        <v>134</v>
      </c>
      <c r="J157" t="s">
        <v>125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 t="shared" si="27"/>
        <v>20:16:38.711</v>
      </c>
      <c r="T157" t="str">
        <f t="shared" si="27"/>
        <v>20:16:38.711</v>
      </c>
      <c r="U157" t="str">
        <f t="shared" si="21"/>
        <v>AA0632</v>
      </c>
      <c r="V157">
        <v>0</v>
      </c>
      <c r="W157">
        <v>0</v>
      </c>
      <c r="X157">
        <v>2</v>
      </c>
      <c r="Y157">
        <v>0</v>
      </c>
      <c r="AA157">
        <v>0</v>
      </c>
      <c r="AB157">
        <v>8</v>
      </c>
      <c r="AC157">
        <v>3</v>
      </c>
      <c r="AD157">
        <v>0</v>
      </c>
      <c r="AE157">
        <v>9</v>
      </c>
      <c r="AF157" t="s">
        <v>126</v>
      </c>
      <c r="AG157">
        <v>0</v>
      </c>
      <c r="AH157">
        <v>0</v>
      </c>
      <c r="AI157">
        <v>2</v>
      </c>
      <c r="AJ157">
        <v>0</v>
      </c>
      <c r="AK157" t="s">
        <v>199</v>
      </c>
      <c r="AL157">
        <v>31.961781999999999</v>
      </c>
      <c r="AM157" t="s">
        <v>222</v>
      </c>
      <c r="AN157">
        <v>-101.14249700000001</v>
      </c>
      <c r="AQ157" t="s">
        <v>129</v>
      </c>
      <c r="AR157">
        <v>-89</v>
      </c>
      <c r="AS157">
        <v>0</v>
      </c>
      <c r="AT157">
        <v>-256</v>
      </c>
      <c r="BB157" t="str">
        <f t="shared" si="22"/>
        <v>1200</v>
      </c>
      <c r="BC157">
        <v>1</v>
      </c>
      <c r="BD157" t="str">
        <f t="shared" si="25"/>
        <v xml:space="preserve">N745MB  </v>
      </c>
      <c r="BE157">
        <v>1</v>
      </c>
      <c r="BG157">
        <v>0</v>
      </c>
      <c r="BH157">
        <v>0</v>
      </c>
      <c r="BI157">
        <v>0</v>
      </c>
      <c r="BL157" t="s">
        <v>130</v>
      </c>
      <c r="BM157">
        <v>1</v>
      </c>
      <c r="BN157">
        <v>0</v>
      </c>
      <c r="BO157">
        <v>0</v>
      </c>
      <c r="BP157">
        <v>0</v>
      </c>
      <c r="BT157">
        <v>0</v>
      </c>
      <c r="BU157">
        <v>0</v>
      </c>
      <c r="CE157" t="str">
        <f>"20:16:38.716"</f>
        <v>20:16:38.716</v>
      </c>
      <c r="CF157">
        <v>716396265</v>
      </c>
      <c r="CS157">
        <v>0</v>
      </c>
      <c r="CT157">
        <v>1</v>
      </c>
      <c r="CU157">
        <v>0</v>
      </c>
      <c r="CV157">
        <v>2</v>
      </c>
      <c r="CW157">
        <v>0</v>
      </c>
      <c r="CX157">
        <v>1</v>
      </c>
      <c r="CY157">
        <v>7</v>
      </c>
      <c r="CZ157" t="s">
        <v>131</v>
      </c>
      <c r="DA157">
        <v>116</v>
      </c>
      <c r="DB157">
        <v>3</v>
      </c>
      <c r="DC157" t="s">
        <v>132</v>
      </c>
      <c r="DD157" t="s">
        <v>133</v>
      </c>
      <c r="DG157">
        <v>8104713</v>
      </c>
      <c r="DI157">
        <v>0</v>
      </c>
      <c r="DJ157">
        <v>0</v>
      </c>
      <c r="DK157">
        <v>1</v>
      </c>
      <c r="DL157">
        <v>0</v>
      </c>
      <c r="DM157">
        <v>0</v>
      </c>
      <c r="DN157">
        <v>0</v>
      </c>
      <c r="DO157">
        <v>0</v>
      </c>
      <c r="DP157">
        <v>1</v>
      </c>
      <c r="DQ157">
        <v>0</v>
      </c>
      <c r="DR157">
        <v>0</v>
      </c>
      <c r="DS157">
        <v>0</v>
      </c>
    </row>
    <row r="158" spans="1:123" x14ac:dyDescent="0.25">
      <c r="A158" t="str">
        <f>"11/29/2023 20:16:39.210"</f>
        <v>11/29/2023 20:16:39.210</v>
      </c>
      <c r="C158" t="str">
        <f t="shared" si="24"/>
        <v>FFDF53C0</v>
      </c>
      <c r="D158" t="s">
        <v>138</v>
      </c>
      <c r="E158">
        <v>3</v>
      </c>
      <c r="H158">
        <v>160</v>
      </c>
      <c r="I158" t="s">
        <v>124</v>
      </c>
      <c r="J158" t="s">
        <v>139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 t="shared" si="27"/>
        <v>20:16:38.711</v>
      </c>
      <c r="T158" t="str">
        <f t="shared" si="27"/>
        <v>20:16:38.711</v>
      </c>
      <c r="U158" t="str">
        <f t="shared" si="21"/>
        <v>AA0632</v>
      </c>
      <c r="V158">
        <v>0</v>
      </c>
      <c r="W158">
        <v>0</v>
      </c>
      <c r="X158">
        <v>2</v>
      </c>
      <c r="Y158">
        <v>0</v>
      </c>
      <c r="AA158">
        <v>0</v>
      </c>
      <c r="AB158">
        <v>8</v>
      </c>
      <c r="AC158">
        <v>3</v>
      </c>
      <c r="AD158">
        <v>0</v>
      </c>
      <c r="AE158">
        <v>9</v>
      </c>
      <c r="AF158" t="s">
        <v>126</v>
      </c>
      <c r="AG158">
        <v>0</v>
      </c>
      <c r="AH158">
        <v>0</v>
      </c>
      <c r="AI158">
        <v>2</v>
      </c>
      <c r="AJ158">
        <v>0</v>
      </c>
      <c r="AK158" t="s">
        <v>199</v>
      </c>
      <c r="AL158">
        <v>31.961781999999999</v>
      </c>
      <c r="AM158" t="s">
        <v>222</v>
      </c>
      <c r="AN158">
        <v>-101.14249700000001</v>
      </c>
      <c r="AQ158" t="s">
        <v>129</v>
      </c>
      <c r="AR158">
        <v>-89</v>
      </c>
      <c r="AS158">
        <v>0</v>
      </c>
      <c r="AT158">
        <v>-256</v>
      </c>
      <c r="BB158" t="str">
        <f t="shared" si="22"/>
        <v>1200</v>
      </c>
      <c r="BC158">
        <v>1</v>
      </c>
      <c r="BD158" t="str">
        <f t="shared" si="25"/>
        <v xml:space="preserve">N745MB  </v>
      </c>
      <c r="BE158">
        <v>1</v>
      </c>
      <c r="BG158">
        <v>0</v>
      </c>
      <c r="BH158">
        <v>0</v>
      </c>
      <c r="BI158">
        <v>0</v>
      </c>
      <c r="BL158" t="s">
        <v>130</v>
      </c>
      <c r="BM158">
        <v>1</v>
      </c>
      <c r="BN158">
        <v>0</v>
      </c>
      <c r="BO158">
        <v>0</v>
      </c>
      <c r="BP158">
        <v>0</v>
      </c>
      <c r="BT158">
        <v>0</v>
      </c>
      <c r="BU158">
        <v>0</v>
      </c>
      <c r="CE158" t="str">
        <f>"20:16:38.716"</f>
        <v>20:16:38.716</v>
      </c>
      <c r="CF158">
        <v>716396265</v>
      </c>
      <c r="CS158">
        <v>0</v>
      </c>
      <c r="CT158">
        <v>1</v>
      </c>
      <c r="CU158">
        <v>0</v>
      </c>
      <c r="CV158">
        <v>2</v>
      </c>
      <c r="CW158">
        <v>0</v>
      </c>
      <c r="CX158">
        <v>1</v>
      </c>
      <c r="CY158">
        <v>7</v>
      </c>
      <c r="CZ158" t="s">
        <v>131</v>
      </c>
      <c r="DA158">
        <v>116</v>
      </c>
      <c r="DB158">
        <v>3</v>
      </c>
      <c r="DC158" t="s">
        <v>132</v>
      </c>
      <c r="DD158" t="s">
        <v>133</v>
      </c>
      <c r="DG158">
        <v>8104713</v>
      </c>
      <c r="DI158">
        <v>0</v>
      </c>
      <c r="DJ158">
        <v>0</v>
      </c>
      <c r="DK158">
        <v>1</v>
      </c>
      <c r="DL158">
        <v>0</v>
      </c>
      <c r="DM158">
        <v>0</v>
      </c>
      <c r="DN158">
        <v>0</v>
      </c>
      <c r="DO158">
        <v>0</v>
      </c>
      <c r="DP158">
        <v>1</v>
      </c>
      <c r="DQ158">
        <v>0</v>
      </c>
      <c r="DR158">
        <v>0</v>
      </c>
      <c r="DS158">
        <v>0</v>
      </c>
    </row>
    <row r="159" spans="1:123" x14ac:dyDescent="0.25">
      <c r="A159" t="str">
        <f>"11/29/2023 20:16:39.835"</f>
        <v>11/29/2023 20:16:39.835</v>
      </c>
      <c r="C159" t="str">
        <f t="shared" si="24"/>
        <v>FFDF53C0</v>
      </c>
      <c r="D159" t="s">
        <v>138</v>
      </c>
      <c r="E159">
        <v>3</v>
      </c>
      <c r="H159">
        <v>160</v>
      </c>
      <c r="I159" t="s">
        <v>124</v>
      </c>
      <c r="J159" t="s">
        <v>139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"20:16:39.250"</f>
        <v>20:16:39.250</v>
      </c>
      <c r="U159" t="str">
        <f t="shared" si="21"/>
        <v>AA0632</v>
      </c>
      <c r="V159">
        <v>0</v>
      </c>
      <c r="W159">
        <v>0</v>
      </c>
      <c r="X159">
        <v>2</v>
      </c>
      <c r="Y159">
        <v>0</v>
      </c>
      <c r="AA159">
        <v>0</v>
      </c>
      <c r="AB159">
        <v>8</v>
      </c>
      <c r="AC159">
        <v>3</v>
      </c>
      <c r="AD159">
        <v>0</v>
      </c>
      <c r="AE159">
        <v>9</v>
      </c>
      <c r="AF159" t="s">
        <v>126</v>
      </c>
      <c r="AG159">
        <v>0</v>
      </c>
      <c r="AH159">
        <v>0</v>
      </c>
      <c r="AI159">
        <v>2</v>
      </c>
      <c r="AJ159">
        <v>0</v>
      </c>
      <c r="AK159" t="s">
        <v>199</v>
      </c>
      <c r="AL159">
        <v>31.961781999999999</v>
      </c>
      <c r="AM159" t="s">
        <v>223</v>
      </c>
      <c r="AN159">
        <v>-101.142712</v>
      </c>
      <c r="AQ159" t="s">
        <v>129</v>
      </c>
      <c r="AT159">
        <v>-256</v>
      </c>
      <c r="BB159" t="str">
        <f t="shared" si="22"/>
        <v>1200</v>
      </c>
      <c r="BC159">
        <v>1</v>
      </c>
      <c r="BD159" t="str">
        <f t="shared" si="25"/>
        <v xml:space="preserve">N745MB  </v>
      </c>
      <c r="BE159">
        <v>1</v>
      </c>
      <c r="BG159">
        <v>0</v>
      </c>
      <c r="BH159">
        <v>0</v>
      </c>
      <c r="BI159">
        <v>0</v>
      </c>
      <c r="BL159" t="s">
        <v>130</v>
      </c>
      <c r="BM159">
        <v>1</v>
      </c>
      <c r="BN159">
        <v>0</v>
      </c>
      <c r="BO159">
        <v>0</v>
      </c>
      <c r="BP159">
        <v>0</v>
      </c>
      <c r="BT159">
        <v>0</v>
      </c>
      <c r="BU159">
        <v>0</v>
      </c>
      <c r="CE159" t="str">
        <f>"20:16:39.254"</f>
        <v>20:16:39.254</v>
      </c>
      <c r="CF159">
        <v>254373531</v>
      </c>
      <c r="CS159">
        <v>0</v>
      </c>
      <c r="CT159">
        <v>1</v>
      </c>
      <c r="CU159">
        <v>0</v>
      </c>
      <c r="CV159">
        <v>2</v>
      </c>
      <c r="CW159">
        <v>0</v>
      </c>
      <c r="CX159">
        <v>2</v>
      </c>
      <c r="CY159">
        <v>7</v>
      </c>
      <c r="CZ159" t="s">
        <v>131</v>
      </c>
      <c r="DA159">
        <v>483</v>
      </c>
      <c r="DB159">
        <v>1</v>
      </c>
      <c r="DC159" t="s">
        <v>169</v>
      </c>
      <c r="DD159" t="s">
        <v>170</v>
      </c>
      <c r="DG159">
        <v>7293961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1</v>
      </c>
      <c r="DQ159">
        <v>0</v>
      </c>
      <c r="DR159">
        <v>0</v>
      </c>
      <c r="DS159">
        <v>0</v>
      </c>
    </row>
    <row r="160" spans="1:123" x14ac:dyDescent="0.25">
      <c r="A160" t="str">
        <f>"11/29/2023 20:16:39.866"</f>
        <v>11/29/2023 20:16:39.866</v>
      </c>
      <c r="C160" t="str">
        <f t="shared" si="24"/>
        <v>FFDF53C0</v>
      </c>
      <c r="D160" t="s">
        <v>123</v>
      </c>
      <c r="E160">
        <v>14</v>
      </c>
      <c r="F160">
        <v>1014</v>
      </c>
      <c r="G160" t="s">
        <v>124</v>
      </c>
      <c r="J160" t="s">
        <v>125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"20:16:39.250"</f>
        <v>20:16:39.250</v>
      </c>
      <c r="U160" t="str">
        <f t="shared" si="21"/>
        <v>AA0632</v>
      </c>
      <c r="V160">
        <v>0</v>
      </c>
      <c r="W160">
        <v>0</v>
      </c>
      <c r="X160">
        <v>2</v>
      </c>
      <c r="Y160">
        <v>0</v>
      </c>
      <c r="AA160">
        <v>0</v>
      </c>
      <c r="AB160">
        <v>8</v>
      </c>
      <c r="AC160">
        <v>3</v>
      </c>
      <c r="AD160">
        <v>0</v>
      </c>
      <c r="AE160">
        <v>9</v>
      </c>
      <c r="AF160" t="s">
        <v>126</v>
      </c>
      <c r="AG160">
        <v>0</v>
      </c>
      <c r="AH160">
        <v>0</v>
      </c>
      <c r="AI160">
        <v>2</v>
      </c>
      <c r="AJ160">
        <v>0</v>
      </c>
      <c r="AK160" t="s">
        <v>199</v>
      </c>
      <c r="AL160">
        <v>31.961781999999999</v>
      </c>
      <c r="AM160" t="s">
        <v>223</v>
      </c>
      <c r="AN160">
        <v>-101.142712</v>
      </c>
      <c r="AQ160" t="s">
        <v>129</v>
      </c>
      <c r="AT160">
        <v>-256</v>
      </c>
      <c r="BB160" t="str">
        <f t="shared" si="22"/>
        <v>1200</v>
      </c>
      <c r="BC160">
        <v>1</v>
      </c>
      <c r="BD160" t="str">
        <f t="shared" si="25"/>
        <v xml:space="preserve">N745MB  </v>
      </c>
      <c r="BE160">
        <v>1</v>
      </c>
      <c r="BG160">
        <v>0</v>
      </c>
      <c r="BH160">
        <v>0</v>
      </c>
      <c r="BI160">
        <v>0</v>
      </c>
      <c r="BL160" t="s">
        <v>130</v>
      </c>
      <c r="BM160">
        <v>1</v>
      </c>
      <c r="BN160">
        <v>0</v>
      </c>
      <c r="BO160">
        <v>0</v>
      </c>
      <c r="BP160">
        <v>0</v>
      </c>
      <c r="BT160">
        <v>0</v>
      </c>
      <c r="BU160">
        <v>0</v>
      </c>
      <c r="CE160" t="str">
        <f>"20:16:39.254"</f>
        <v>20:16:39.254</v>
      </c>
      <c r="CF160">
        <v>254373531</v>
      </c>
      <c r="CS160">
        <v>0</v>
      </c>
      <c r="CT160">
        <v>1</v>
      </c>
      <c r="CU160">
        <v>0</v>
      </c>
      <c r="CV160">
        <v>2</v>
      </c>
      <c r="CW160">
        <v>0</v>
      </c>
      <c r="CX160">
        <v>2</v>
      </c>
      <c r="CY160">
        <v>7</v>
      </c>
      <c r="CZ160" t="s">
        <v>131</v>
      </c>
      <c r="DA160">
        <v>483</v>
      </c>
      <c r="DB160">
        <v>1</v>
      </c>
      <c r="DC160" t="s">
        <v>169</v>
      </c>
      <c r="DD160" t="s">
        <v>170</v>
      </c>
      <c r="DG160">
        <v>7293961</v>
      </c>
      <c r="DI160">
        <v>0</v>
      </c>
      <c r="DJ160">
        <v>0</v>
      </c>
      <c r="DK160">
        <v>1</v>
      </c>
      <c r="DL160">
        <v>0</v>
      </c>
      <c r="DM160">
        <v>0</v>
      </c>
      <c r="DN160">
        <v>0</v>
      </c>
      <c r="DO160">
        <v>0</v>
      </c>
      <c r="DP160">
        <v>1</v>
      </c>
      <c r="DQ160">
        <v>0</v>
      </c>
      <c r="DR160">
        <v>0</v>
      </c>
      <c r="DS160">
        <v>0</v>
      </c>
    </row>
    <row r="161" spans="1:123" x14ac:dyDescent="0.25">
      <c r="A161" t="str">
        <f>"11/29/2023 20:16:41.054"</f>
        <v>11/29/2023 20:16:41.054</v>
      </c>
      <c r="C161" t="str">
        <f t="shared" si="24"/>
        <v>FFDF53C0</v>
      </c>
      <c r="D161" t="s">
        <v>123</v>
      </c>
      <c r="E161">
        <v>14</v>
      </c>
      <c r="F161">
        <v>1014</v>
      </c>
      <c r="G161" t="s">
        <v>124</v>
      </c>
      <c r="J161" t="s">
        <v>125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"20:16:40.789"</f>
        <v>20:16:40.789</v>
      </c>
      <c r="T161" t="str">
        <f>"20:16:40.489"</f>
        <v>20:16:40.489</v>
      </c>
      <c r="U161" t="str">
        <f t="shared" si="21"/>
        <v>AA0632</v>
      </c>
      <c r="V161">
        <v>0</v>
      </c>
      <c r="W161">
        <v>0</v>
      </c>
      <c r="X161">
        <v>2</v>
      </c>
      <c r="Y161">
        <v>0</v>
      </c>
      <c r="AA161">
        <v>0</v>
      </c>
      <c r="AB161">
        <v>8</v>
      </c>
      <c r="AC161">
        <v>3</v>
      </c>
      <c r="AD161">
        <v>0</v>
      </c>
      <c r="AE161">
        <v>9</v>
      </c>
      <c r="AF161" t="s">
        <v>126</v>
      </c>
      <c r="AG161">
        <v>0</v>
      </c>
      <c r="AH161">
        <v>0</v>
      </c>
      <c r="AI161">
        <v>2</v>
      </c>
      <c r="AJ161">
        <v>0</v>
      </c>
      <c r="AK161" t="s">
        <v>199</v>
      </c>
      <c r="AL161">
        <v>31.961781999999999</v>
      </c>
      <c r="AM161" t="s">
        <v>224</v>
      </c>
      <c r="AN161">
        <v>-101.143441</v>
      </c>
      <c r="AQ161" t="s">
        <v>129</v>
      </c>
      <c r="AR161">
        <v>-90</v>
      </c>
      <c r="AS161">
        <v>0</v>
      </c>
      <c r="AT161">
        <v>-256</v>
      </c>
      <c r="BB161" t="str">
        <f t="shared" si="22"/>
        <v>1200</v>
      </c>
      <c r="BC161">
        <v>1</v>
      </c>
      <c r="BD161" t="str">
        <f t="shared" si="25"/>
        <v xml:space="preserve">N745MB  </v>
      </c>
      <c r="BE161">
        <v>1</v>
      </c>
      <c r="BG161">
        <v>0</v>
      </c>
      <c r="BH161">
        <v>0</v>
      </c>
      <c r="BI161">
        <v>0</v>
      </c>
      <c r="BL161" t="s">
        <v>130</v>
      </c>
      <c r="BM161">
        <v>1</v>
      </c>
      <c r="BN161">
        <v>0</v>
      </c>
      <c r="BO161">
        <v>0</v>
      </c>
      <c r="BP161">
        <v>0</v>
      </c>
      <c r="BT161">
        <v>0</v>
      </c>
      <c r="BU161">
        <v>0</v>
      </c>
      <c r="CE161" t="str">
        <f>"20:16:40.794"</f>
        <v>20:16:40.794</v>
      </c>
      <c r="CF161">
        <v>794252522</v>
      </c>
      <c r="CS161">
        <v>0</v>
      </c>
      <c r="CT161">
        <v>1</v>
      </c>
      <c r="CU161">
        <v>0</v>
      </c>
      <c r="CV161">
        <v>2</v>
      </c>
      <c r="CW161">
        <v>0</v>
      </c>
      <c r="CX161">
        <v>2</v>
      </c>
      <c r="CY161">
        <v>7</v>
      </c>
      <c r="CZ161" t="s">
        <v>131</v>
      </c>
      <c r="DA161">
        <v>116</v>
      </c>
      <c r="DB161">
        <v>3</v>
      </c>
      <c r="DC161" t="s">
        <v>132</v>
      </c>
      <c r="DD161" t="s">
        <v>133</v>
      </c>
      <c r="DG161">
        <v>8105962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1</v>
      </c>
      <c r="DQ161">
        <v>0</v>
      </c>
      <c r="DR161">
        <v>0</v>
      </c>
      <c r="DS161">
        <v>0</v>
      </c>
    </row>
    <row r="162" spans="1:123" x14ac:dyDescent="0.25">
      <c r="A162" t="str">
        <f>"11/29/2023 20:16:41.194"</f>
        <v>11/29/2023 20:16:41.194</v>
      </c>
      <c r="C162" t="str">
        <f t="shared" si="24"/>
        <v>FFDF53C0</v>
      </c>
      <c r="D162" t="s">
        <v>123</v>
      </c>
      <c r="E162">
        <v>1</v>
      </c>
      <c r="F162">
        <v>1001</v>
      </c>
      <c r="G162" t="s">
        <v>134</v>
      </c>
      <c r="J162" t="s">
        <v>125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"20:16:40.789"</f>
        <v>20:16:40.789</v>
      </c>
      <c r="T162" t="str">
        <f>"20:16:40.489"</f>
        <v>20:16:40.489</v>
      </c>
      <c r="U162" t="str">
        <f t="shared" si="21"/>
        <v>AA0632</v>
      </c>
      <c r="V162">
        <v>0</v>
      </c>
      <c r="W162">
        <v>0</v>
      </c>
      <c r="X162">
        <v>2</v>
      </c>
      <c r="Y162">
        <v>0</v>
      </c>
      <c r="AA162">
        <v>0</v>
      </c>
      <c r="AB162">
        <v>8</v>
      </c>
      <c r="AC162">
        <v>3</v>
      </c>
      <c r="AD162">
        <v>0</v>
      </c>
      <c r="AE162">
        <v>9</v>
      </c>
      <c r="AF162" t="s">
        <v>126</v>
      </c>
      <c r="AG162">
        <v>0</v>
      </c>
      <c r="AH162">
        <v>0</v>
      </c>
      <c r="AI162">
        <v>2</v>
      </c>
      <c r="AJ162">
        <v>0</v>
      </c>
      <c r="AK162" t="s">
        <v>199</v>
      </c>
      <c r="AL162">
        <v>31.961781999999999</v>
      </c>
      <c r="AM162" t="s">
        <v>224</v>
      </c>
      <c r="AN162">
        <v>-101.143441</v>
      </c>
      <c r="AQ162" t="s">
        <v>129</v>
      </c>
      <c r="AR162">
        <v>-90</v>
      </c>
      <c r="AS162">
        <v>0</v>
      </c>
      <c r="AT162">
        <v>-256</v>
      </c>
      <c r="BB162" t="str">
        <f t="shared" si="22"/>
        <v>1200</v>
      </c>
      <c r="BC162">
        <v>1</v>
      </c>
      <c r="BD162" t="str">
        <f t="shared" si="25"/>
        <v xml:space="preserve">N745MB  </v>
      </c>
      <c r="BE162">
        <v>1</v>
      </c>
      <c r="BG162">
        <v>0</v>
      </c>
      <c r="BH162">
        <v>0</v>
      </c>
      <c r="BI162">
        <v>0</v>
      </c>
      <c r="BL162" t="s">
        <v>130</v>
      </c>
      <c r="BM162">
        <v>1</v>
      </c>
      <c r="BN162">
        <v>0</v>
      </c>
      <c r="BO162">
        <v>0</v>
      </c>
      <c r="BP162">
        <v>0</v>
      </c>
      <c r="BT162">
        <v>0</v>
      </c>
      <c r="BU162">
        <v>0</v>
      </c>
      <c r="CE162" t="str">
        <f>"20:16:40.794"</f>
        <v>20:16:40.794</v>
      </c>
      <c r="CF162">
        <v>794252522</v>
      </c>
      <c r="CS162">
        <v>0</v>
      </c>
      <c r="CT162">
        <v>1</v>
      </c>
      <c r="CU162">
        <v>0</v>
      </c>
      <c r="CV162">
        <v>2</v>
      </c>
      <c r="CW162">
        <v>0</v>
      </c>
      <c r="CX162">
        <v>2</v>
      </c>
      <c r="CY162">
        <v>7</v>
      </c>
      <c r="CZ162" t="s">
        <v>131</v>
      </c>
      <c r="DA162">
        <v>116</v>
      </c>
      <c r="DB162">
        <v>3</v>
      </c>
      <c r="DC162" t="s">
        <v>132</v>
      </c>
      <c r="DD162" t="s">
        <v>133</v>
      </c>
      <c r="DG162">
        <v>8105962</v>
      </c>
      <c r="DI162">
        <v>0</v>
      </c>
      <c r="DJ162">
        <v>0</v>
      </c>
      <c r="DK162">
        <v>1</v>
      </c>
      <c r="DL162">
        <v>0</v>
      </c>
      <c r="DM162">
        <v>0</v>
      </c>
      <c r="DN162">
        <v>0</v>
      </c>
      <c r="DO162">
        <v>0</v>
      </c>
      <c r="DP162">
        <v>1</v>
      </c>
      <c r="DQ162">
        <v>0</v>
      </c>
      <c r="DR162">
        <v>0</v>
      </c>
      <c r="DS162">
        <v>0</v>
      </c>
    </row>
    <row r="163" spans="1:123" x14ac:dyDescent="0.25">
      <c r="A163" t="str">
        <f>"11/29/2023 20:16:41.194"</f>
        <v>11/29/2023 20:16:41.194</v>
      </c>
      <c r="C163" t="str">
        <f t="shared" si="24"/>
        <v>FFDF53C0</v>
      </c>
      <c r="D163" t="s">
        <v>138</v>
      </c>
      <c r="E163">
        <v>3</v>
      </c>
      <c r="H163">
        <v>160</v>
      </c>
      <c r="I163" t="s">
        <v>124</v>
      </c>
      <c r="J163" t="s">
        <v>139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"20:16:40.789"</f>
        <v>20:16:40.789</v>
      </c>
      <c r="T163" t="str">
        <f>"20:16:40.489"</f>
        <v>20:16:40.489</v>
      </c>
      <c r="U163" t="str">
        <f t="shared" si="21"/>
        <v>AA0632</v>
      </c>
      <c r="V163">
        <v>0</v>
      </c>
      <c r="W163">
        <v>0</v>
      </c>
      <c r="X163">
        <v>2</v>
      </c>
      <c r="Y163">
        <v>0</v>
      </c>
      <c r="AA163">
        <v>0</v>
      </c>
      <c r="AB163">
        <v>8</v>
      </c>
      <c r="AC163">
        <v>3</v>
      </c>
      <c r="AD163">
        <v>0</v>
      </c>
      <c r="AE163">
        <v>9</v>
      </c>
      <c r="AF163" t="s">
        <v>126</v>
      </c>
      <c r="AG163">
        <v>0</v>
      </c>
      <c r="AH163">
        <v>0</v>
      </c>
      <c r="AI163">
        <v>2</v>
      </c>
      <c r="AJ163">
        <v>0</v>
      </c>
      <c r="AK163" t="s">
        <v>199</v>
      </c>
      <c r="AL163">
        <v>31.961781999999999</v>
      </c>
      <c r="AM163" t="s">
        <v>224</v>
      </c>
      <c r="AN163">
        <v>-101.143441</v>
      </c>
      <c r="AQ163" t="s">
        <v>129</v>
      </c>
      <c r="AR163">
        <v>-90</v>
      </c>
      <c r="AS163">
        <v>0</v>
      </c>
      <c r="AT163">
        <v>-256</v>
      </c>
      <c r="BB163" t="str">
        <f t="shared" si="22"/>
        <v>1200</v>
      </c>
      <c r="BC163">
        <v>1</v>
      </c>
      <c r="BD163" t="str">
        <f t="shared" si="25"/>
        <v xml:space="preserve">N745MB  </v>
      </c>
      <c r="BE163">
        <v>1</v>
      </c>
      <c r="BG163">
        <v>0</v>
      </c>
      <c r="BH163">
        <v>0</v>
      </c>
      <c r="BI163">
        <v>0</v>
      </c>
      <c r="BL163" t="s">
        <v>130</v>
      </c>
      <c r="BM163">
        <v>1</v>
      </c>
      <c r="BN163">
        <v>0</v>
      </c>
      <c r="BO163">
        <v>0</v>
      </c>
      <c r="BP163">
        <v>0</v>
      </c>
      <c r="BT163">
        <v>0</v>
      </c>
      <c r="BU163">
        <v>0</v>
      </c>
      <c r="CE163" t="str">
        <f>"20:16:40.794"</f>
        <v>20:16:40.794</v>
      </c>
      <c r="CF163">
        <v>794252522</v>
      </c>
      <c r="CS163">
        <v>0</v>
      </c>
      <c r="CT163">
        <v>1</v>
      </c>
      <c r="CU163">
        <v>0</v>
      </c>
      <c r="CV163">
        <v>2</v>
      </c>
      <c r="CW163">
        <v>0</v>
      </c>
      <c r="CX163">
        <v>2</v>
      </c>
      <c r="CY163">
        <v>7</v>
      </c>
      <c r="CZ163" t="s">
        <v>131</v>
      </c>
      <c r="DA163">
        <v>116</v>
      </c>
      <c r="DB163">
        <v>3</v>
      </c>
      <c r="DC163" t="s">
        <v>132</v>
      </c>
      <c r="DD163" t="s">
        <v>133</v>
      </c>
      <c r="DG163">
        <v>8105962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0</v>
      </c>
      <c r="DP163">
        <v>1</v>
      </c>
      <c r="DQ163">
        <v>0</v>
      </c>
      <c r="DR163">
        <v>0</v>
      </c>
      <c r="DS163">
        <v>0</v>
      </c>
    </row>
    <row r="164" spans="1:123" x14ac:dyDescent="0.25">
      <c r="A164" t="str">
        <f>"11/29/2023 20:16:41.241"</f>
        <v>11/29/2023 20:16:41.241</v>
      </c>
      <c r="C164" t="str">
        <f t="shared" si="24"/>
        <v>FFDF53C0</v>
      </c>
      <c r="D164" t="s">
        <v>135</v>
      </c>
      <c r="E164">
        <v>31</v>
      </c>
      <c r="H164">
        <v>285</v>
      </c>
      <c r="I164" t="s">
        <v>136</v>
      </c>
      <c r="J164" t="s">
        <v>137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"20:16:40.789"</f>
        <v>20:16:40.789</v>
      </c>
      <c r="T164" t="str">
        <f>"20:16:40.489"</f>
        <v>20:16:40.489</v>
      </c>
      <c r="U164" t="str">
        <f t="shared" si="21"/>
        <v>AA0632</v>
      </c>
      <c r="V164">
        <v>0</v>
      </c>
      <c r="W164">
        <v>0</v>
      </c>
      <c r="X164">
        <v>2</v>
      </c>
      <c r="Y164">
        <v>0</v>
      </c>
      <c r="AA164">
        <v>0</v>
      </c>
      <c r="AB164">
        <v>8</v>
      </c>
      <c r="AC164">
        <v>3</v>
      </c>
      <c r="AD164">
        <v>0</v>
      </c>
      <c r="AE164">
        <v>9</v>
      </c>
      <c r="AF164" t="s">
        <v>126</v>
      </c>
      <c r="AG164">
        <v>0</v>
      </c>
      <c r="AH164">
        <v>0</v>
      </c>
      <c r="AI164">
        <v>2</v>
      </c>
      <c r="AJ164">
        <v>0</v>
      </c>
      <c r="AK164" t="s">
        <v>199</v>
      </c>
      <c r="AL164">
        <v>31.961781999999999</v>
      </c>
      <c r="AM164" t="s">
        <v>224</v>
      </c>
      <c r="AN164">
        <v>-101.143441</v>
      </c>
      <c r="AQ164" t="s">
        <v>129</v>
      </c>
      <c r="AR164">
        <v>-90</v>
      </c>
      <c r="AS164">
        <v>0</v>
      </c>
      <c r="AT164">
        <v>-256</v>
      </c>
      <c r="BB164" t="str">
        <f t="shared" si="22"/>
        <v>1200</v>
      </c>
      <c r="BC164">
        <v>1</v>
      </c>
      <c r="BD164" t="str">
        <f t="shared" si="25"/>
        <v xml:space="preserve">N745MB  </v>
      </c>
      <c r="BE164">
        <v>1</v>
      </c>
      <c r="BG164">
        <v>0</v>
      </c>
      <c r="BH164">
        <v>0</v>
      </c>
      <c r="BI164">
        <v>0</v>
      </c>
      <c r="BL164" t="s">
        <v>130</v>
      </c>
      <c r="BM164">
        <v>1</v>
      </c>
      <c r="BN164">
        <v>0</v>
      </c>
      <c r="BO164">
        <v>0</v>
      </c>
      <c r="BP164">
        <v>0</v>
      </c>
      <c r="BT164">
        <v>0</v>
      </c>
      <c r="BU164">
        <v>0</v>
      </c>
      <c r="CE164" t="str">
        <f>"20:16:40.794"</f>
        <v>20:16:40.794</v>
      </c>
      <c r="CF164">
        <v>794252522</v>
      </c>
      <c r="CS164">
        <v>0</v>
      </c>
      <c r="CT164">
        <v>1</v>
      </c>
      <c r="CU164">
        <v>0</v>
      </c>
      <c r="CV164">
        <v>2</v>
      </c>
      <c r="CW164">
        <v>0</v>
      </c>
      <c r="CX164">
        <v>2</v>
      </c>
      <c r="CY164">
        <v>7</v>
      </c>
      <c r="CZ164" t="s">
        <v>131</v>
      </c>
      <c r="DA164">
        <v>116</v>
      </c>
      <c r="DB164">
        <v>3</v>
      </c>
      <c r="DC164" t="s">
        <v>132</v>
      </c>
      <c r="DD164" t="s">
        <v>133</v>
      </c>
      <c r="DG164">
        <v>8105962</v>
      </c>
      <c r="DI164">
        <v>0</v>
      </c>
      <c r="DJ164">
        <v>0</v>
      </c>
      <c r="DK164">
        <v>1</v>
      </c>
      <c r="DL164">
        <v>0</v>
      </c>
      <c r="DM164">
        <v>0</v>
      </c>
      <c r="DN164">
        <v>0</v>
      </c>
      <c r="DO164">
        <v>0</v>
      </c>
      <c r="DP164">
        <v>1</v>
      </c>
      <c r="DQ164">
        <v>0</v>
      </c>
      <c r="DR164">
        <v>0</v>
      </c>
      <c r="DS164">
        <v>0</v>
      </c>
    </row>
    <row r="165" spans="1:123" x14ac:dyDescent="0.25">
      <c r="A165" t="str">
        <f>"11/29/2023 20:16:42.538"</f>
        <v>11/29/2023 20:16:42.538</v>
      </c>
      <c r="C165" t="str">
        <f t="shared" si="24"/>
        <v>FFDF53C0</v>
      </c>
      <c r="D165" t="s">
        <v>123</v>
      </c>
      <c r="E165">
        <v>1</v>
      </c>
      <c r="F165">
        <v>1001</v>
      </c>
      <c r="G165" t="s">
        <v>134</v>
      </c>
      <c r="J165" t="s">
        <v>125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"20:16:42.227"</f>
        <v>20:16:42.227</v>
      </c>
      <c r="T165" t="str">
        <f>"20:16:41.927"</f>
        <v>20:16:41.927</v>
      </c>
      <c r="U165" t="str">
        <f t="shared" si="21"/>
        <v>AA0632</v>
      </c>
      <c r="V165">
        <v>0</v>
      </c>
      <c r="W165">
        <v>0</v>
      </c>
      <c r="X165">
        <v>2</v>
      </c>
      <c r="Y165">
        <v>0</v>
      </c>
      <c r="AA165">
        <v>0</v>
      </c>
      <c r="AB165">
        <v>8</v>
      </c>
      <c r="AC165">
        <v>3</v>
      </c>
      <c r="AD165">
        <v>0</v>
      </c>
      <c r="AE165">
        <v>9</v>
      </c>
      <c r="AF165" t="s">
        <v>126</v>
      </c>
      <c r="AG165">
        <v>0</v>
      </c>
      <c r="AH165">
        <v>0</v>
      </c>
      <c r="AI165">
        <v>2</v>
      </c>
      <c r="AJ165">
        <v>0</v>
      </c>
      <c r="AK165" t="s">
        <v>199</v>
      </c>
      <c r="AL165">
        <v>31.961781999999999</v>
      </c>
      <c r="AM165" t="s">
        <v>225</v>
      </c>
      <c r="AN165">
        <v>-101.144192</v>
      </c>
      <c r="AQ165" t="s">
        <v>129</v>
      </c>
      <c r="AR165">
        <v>-90</v>
      </c>
      <c r="AS165">
        <v>2</v>
      </c>
      <c r="AT165">
        <v>-384</v>
      </c>
      <c r="BB165" t="str">
        <f t="shared" si="22"/>
        <v>1200</v>
      </c>
      <c r="BC165">
        <v>1</v>
      </c>
      <c r="BD165" t="str">
        <f t="shared" si="25"/>
        <v xml:space="preserve">N745MB  </v>
      </c>
      <c r="BE165">
        <v>1</v>
      </c>
      <c r="BG165">
        <v>0</v>
      </c>
      <c r="BH165">
        <v>0</v>
      </c>
      <c r="BI165">
        <v>0</v>
      </c>
      <c r="BL165" t="s">
        <v>130</v>
      </c>
      <c r="BM165">
        <v>1</v>
      </c>
      <c r="BN165">
        <v>0</v>
      </c>
      <c r="BO165">
        <v>0</v>
      </c>
      <c r="BP165">
        <v>0</v>
      </c>
      <c r="BT165">
        <v>0</v>
      </c>
      <c r="BU165">
        <v>0</v>
      </c>
      <c r="CE165" t="str">
        <f>"20:16:42.234"</f>
        <v>20:16:42.234</v>
      </c>
      <c r="CF165">
        <v>234153195</v>
      </c>
      <c r="CS165">
        <v>0</v>
      </c>
      <c r="CT165">
        <v>1</v>
      </c>
      <c r="CU165">
        <v>0</v>
      </c>
      <c r="CV165">
        <v>2</v>
      </c>
      <c r="CW165">
        <v>0</v>
      </c>
      <c r="CX165">
        <v>2</v>
      </c>
      <c r="CY165">
        <v>7</v>
      </c>
      <c r="CZ165" t="s">
        <v>131</v>
      </c>
      <c r="DA165">
        <v>116</v>
      </c>
      <c r="DB165">
        <v>3</v>
      </c>
      <c r="DC165" t="s">
        <v>132</v>
      </c>
      <c r="DD165" t="s">
        <v>133</v>
      </c>
      <c r="DG165">
        <v>8106655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1</v>
      </c>
      <c r="DQ165">
        <v>0</v>
      </c>
      <c r="DR165">
        <v>0</v>
      </c>
      <c r="DS165">
        <v>0</v>
      </c>
    </row>
    <row r="166" spans="1:123" x14ac:dyDescent="0.25">
      <c r="A166" t="str">
        <f>"11/29/2023 20:16:42.538"</f>
        <v>11/29/2023 20:16:42.538</v>
      </c>
      <c r="C166" t="str">
        <f t="shared" si="24"/>
        <v>FFDF53C0</v>
      </c>
      <c r="D166" t="s">
        <v>138</v>
      </c>
      <c r="E166">
        <v>3</v>
      </c>
      <c r="H166">
        <v>160</v>
      </c>
      <c r="I166" t="s">
        <v>124</v>
      </c>
      <c r="J166" t="s">
        <v>139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"20:16:42.227"</f>
        <v>20:16:42.227</v>
      </c>
      <c r="T166" t="str">
        <f>"20:16:41.927"</f>
        <v>20:16:41.927</v>
      </c>
      <c r="U166" t="str">
        <f t="shared" si="21"/>
        <v>AA0632</v>
      </c>
      <c r="V166">
        <v>0</v>
      </c>
      <c r="W166">
        <v>0</v>
      </c>
      <c r="X166">
        <v>2</v>
      </c>
      <c r="Y166">
        <v>0</v>
      </c>
      <c r="AA166">
        <v>0</v>
      </c>
      <c r="AB166">
        <v>8</v>
      </c>
      <c r="AC166">
        <v>3</v>
      </c>
      <c r="AD166">
        <v>0</v>
      </c>
      <c r="AE166">
        <v>9</v>
      </c>
      <c r="AF166" t="s">
        <v>126</v>
      </c>
      <c r="AG166">
        <v>0</v>
      </c>
      <c r="AH166">
        <v>0</v>
      </c>
      <c r="AI166">
        <v>2</v>
      </c>
      <c r="AJ166">
        <v>0</v>
      </c>
      <c r="AK166" t="s">
        <v>199</v>
      </c>
      <c r="AL166">
        <v>31.961781999999999</v>
      </c>
      <c r="AM166" t="s">
        <v>225</v>
      </c>
      <c r="AN166">
        <v>-101.144192</v>
      </c>
      <c r="AQ166" t="s">
        <v>129</v>
      </c>
      <c r="AR166">
        <v>-90</v>
      </c>
      <c r="AS166">
        <v>2</v>
      </c>
      <c r="AT166">
        <v>-384</v>
      </c>
      <c r="BB166" t="str">
        <f t="shared" si="22"/>
        <v>1200</v>
      </c>
      <c r="BC166">
        <v>1</v>
      </c>
      <c r="BD166" t="str">
        <f t="shared" si="25"/>
        <v xml:space="preserve">N745MB  </v>
      </c>
      <c r="BE166">
        <v>1</v>
      </c>
      <c r="BG166">
        <v>0</v>
      </c>
      <c r="BH166">
        <v>0</v>
      </c>
      <c r="BI166">
        <v>0</v>
      </c>
      <c r="BL166" t="s">
        <v>130</v>
      </c>
      <c r="BM166">
        <v>1</v>
      </c>
      <c r="BN166">
        <v>0</v>
      </c>
      <c r="BO166">
        <v>0</v>
      </c>
      <c r="BP166">
        <v>0</v>
      </c>
      <c r="BT166">
        <v>0</v>
      </c>
      <c r="BU166">
        <v>0</v>
      </c>
      <c r="CE166" t="str">
        <f>"20:16:42.234"</f>
        <v>20:16:42.234</v>
      </c>
      <c r="CF166">
        <v>234153195</v>
      </c>
      <c r="CS166">
        <v>0</v>
      </c>
      <c r="CT166">
        <v>1</v>
      </c>
      <c r="CU166">
        <v>0</v>
      </c>
      <c r="CV166">
        <v>2</v>
      </c>
      <c r="CW166">
        <v>0</v>
      </c>
      <c r="CX166">
        <v>2</v>
      </c>
      <c r="CY166">
        <v>7</v>
      </c>
      <c r="CZ166" t="s">
        <v>131</v>
      </c>
      <c r="DA166">
        <v>116</v>
      </c>
      <c r="DB166">
        <v>3</v>
      </c>
      <c r="DC166" t="s">
        <v>132</v>
      </c>
      <c r="DD166" t="s">
        <v>133</v>
      </c>
      <c r="DG166">
        <v>8106655</v>
      </c>
      <c r="DI166">
        <v>0</v>
      </c>
      <c r="DJ166">
        <v>0</v>
      </c>
      <c r="DK166">
        <v>1</v>
      </c>
      <c r="DL166">
        <v>0</v>
      </c>
      <c r="DM166">
        <v>0</v>
      </c>
      <c r="DN166">
        <v>0</v>
      </c>
      <c r="DO166">
        <v>0</v>
      </c>
      <c r="DP166">
        <v>1</v>
      </c>
      <c r="DQ166">
        <v>0</v>
      </c>
      <c r="DR166">
        <v>0</v>
      </c>
      <c r="DS166">
        <v>0</v>
      </c>
    </row>
    <row r="167" spans="1:123" x14ac:dyDescent="0.25">
      <c r="A167" t="str">
        <f>"11/29/2023 20:16:42.538"</f>
        <v>11/29/2023 20:16:42.538</v>
      </c>
      <c r="C167" t="str">
        <f t="shared" si="24"/>
        <v>FFDF53C0</v>
      </c>
      <c r="D167" t="s">
        <v>135</v>
      </c>
      <c r="E167">
        <v>31</v>
      </c>
      <c r="H167">
        <v>285</v>
      </c>
      <c r="I167" t="s">
        <v>136</v>
      </c>
      <c r="J167" t="s">
        <v>137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"20:16:42.227"</f>
        <v>20:16:42.227</v>
      </c>
      <c r="T167" t="str">
        <f>"20:16:41.927"</f>
        <v>20:16:41.927</v>
      </c>
      <c r="U167" t="str">
        <f t="shared" si="21"/>
        <v>AA0632</v>
      </c>
      <c r="V167">
        <v>0</v>
      </c>
      <c r="W167">
        <v>0</v>
      </c>
      <c r="X167">
        <v>2</v>
      </c>
      <c r="Y167">
        <v>0</v>
      </c>
      <c r="AA167">
        <v>0</v>
      </c>
      <c r="AB167">
        <v>8</v>
      </c>
      <c r="AC167">
        <v>3</v>
      </c>
      <c r="AD167">
        <v>0</v>
      </c>
      <c r="AE167">
        <v>9</v>
      </c>
      <c r="AF167" t="s">
        <v>126</v>
      </c>
      <c r="AG167">
        <v>0</v>
      </c>
      <c r="AH167">
        <v>0</v>
      </c>
      <c r="AI167">
        <v>2</v>
      </c>
      <c r="AJ167">
        <v>0</v>
      </c>
      <c r="AK167" t="s">
        <v>199</v>
      </c>
      <c r="AL167">
        <v>31.961781999999999</v>
      </c>
      <c r="AM167" t="s">
        <v>225</v>
      </c>
      <c r="AN167">
        <v>-101.144192</v>
      </c>
      <c r="AQ167" t="s">
        <v>129</v>
      </c>
      <c r="AR167">
        <v>-90</v>
      </c>
      <c r="AS167">
        <v>2</v>
      </c>
      <c r="AT167">
        <v>-384</v>
      </c>
      <c r="BB167" t="str">
        <f t="shared" si="22"/>
        <v>1200</v>
      </c>
      <c r="BC167">
        <v>1</v>
      </c>
      <c r="BD167" t="str">
        <f t="shared" si="25"/>
        <v xml:space="preserve">N745MB  </v>
      </c>
      <c r="BE167">
        <v>1</v>
      </c>
      <c r="BG167">
        <v>0</v>
      </c>
      <c r="BH167">
        <v>0</v>
      </c>
      <c r="BI167">
        <v>0</v>
      </c>
      <c r="BL167" t="s">
        <v>130</v>
      </c>
      <c r="BM167">
        <v>1</v>
      </c>
      <c r="BN167">
        <v>0</v>
      </c>
      <c r="BO167">
        <v>0</v>
      </c>
      <c r="BP167">
        <v>0</v>
      </c>
      <c r="BT167">
        <v>0</v>
      </c>
      <c r="BU167">
        <v>0</v>
      </c>
      <c r="CE167" t="str">
        <f>"20:16:42.234"</f>
        <v>20:16:42.234</v>
      </c>
      <c r="CF167">
        <v>234153195</v>
      </c>
      <c r="CS167">
        <v>0</v>
      </c>
      <c r="CT167">
        <v>1</v>
      </c>
      <c r="CU167">
        <v>0</v>
      </c>
      <c r="CV167">
        <v>2</v>
      </c>
      <c r="CW167">
        <v>0</v>
      </c>
      <c r="CX167">
        <v>2</v>
      </c>
      <c r="CY167">
        <v>7</v>
      </c>
      <c r="CZ167" t="s">
        <v>131</v>
      </c>
      <c r="DA167">
        <v>116</v>
      </c>
      <c r="DB167">
        <v>3</v>
      </c>
      <c r="DC167" t="s">
        <v>132</v>
      </c>
      <c r="DD167" t="s">
        <v>133</v>
      </c>
      <c r="DG167">
        <v>8106655</v>
      </c>
      <c r="DI167">
        <v>0</v>
      </c>
      <c r="DJ167">
        <v>0</v>
      </c>
      <c r="DK167">
        <v>1</v>
      </c>
      <c r="DL167">
        <v>0</v>
      </c>
      <c r="DM167">
        <v>0</v>
      </c>
      <c r="DN167">
        <v>0</v>
      </c>
      <c r="DO167">
        <v>0</v>
      </c>
      <c r="DP167">
        <v>1</v>
      </c>
      <c r="DQ167">
        <v>0</v>
      </c>
      <c r="DR167">
        <v>0</v>
      </c>
      <c r="DS167">
        <v>0</v>
      </c>
    </row>
    <row r="168" spans="1:123" x14ac:dyDescent="0.25">
      <c r="A168" t="str">
        <f>"11/29/2023 20:16:42.569"</f>
        <v>11/29/2023 20:16:42.569</v>
      </c>
      <c r="C168" t="str">
        <f t="shared" si="24"/>
        <v>FFDF53C0</v>
      </c>
      <c r="D168" t="s">
        <v>123</v>
      </c>
      <c r="E168">
        <v>14</v>
      </c>
      <c r="F168">
        <v>1014</v>
      </c>
      <c r="G168" t="s">
        <v>124</v>
      </c>
      <c r="J168" t="s">
        <v>125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"20:16:42.227"</f>
        <v>20:16:42.227</v>
      </c>
      <c r="T168" t="str">
        <f>"20:16:41.927"</f>
        <v>20:16:41.927</v>
      </c>
      <c r="U168" t="str">
        <f t="shared" si="21"/>
        <v>AA0632</v>
      </c>
      <c r="V168">
        <v>0</v>
      </c>
      <c r="W168">
        <v>0</v>
      </c>
      <c r="X168">
        <v>2</v>
      </c>
      <c r="Y168">
        <v>0</v>
      </c>
      <c r="AA168">
        <v>0</v>
      </c>
      <c r="AB168">
        <v>8</v>
      </c>
      <c r="AC168">
        <v>3</v>
      </c>
      <c r="AD168">
        <v>0</v>
      </c>
      <c r="AE168">
        <v>9</v>
      </c>
      <c r="AF168" t="s">
        <v>126</v>
      </c>
      <c r="AG168">
        <v>0</v>
      </c>
      <c r="AH168">
        <v>0</v>
      </c>
      <c r="AI168">
        <v>2</v>
      </c>
      <c r="AJ168">
        <v>0</v>
      </c>
      <c r="AK168" t="s">
        <v>199</v>
      </c>
      <c r="AL168">
        <v>31.961781999999999</v>
      </c>
      <c r="AM168" t="s">
        <v>225</v>
      </c>
      <c r="AN168">
        <v>-101.144192</v>
      </c>
      <c r="AQ168" t="s">
        <v>129</v>
      </c>
      <c r="AR168">
        <v>-90</v>
      </c>
      <c r="AS168">
        <v>2</v>
      </c>
      <c r="AT168">
        <v>-384</v>
      </c>
      <c r="BB168" t="str">
        <f t="shared" si="22"/>
        <v>1200</v>
      </c>
      <c r="BC168">
        <v>1</v>
      </c>
      <c r="BD168" t="str">
        <f t="shared" si="25"/>
        <v xml:space="preserve">N745MB  </v>
      </c>
      <c r="BE168">
        <v>1</v>
      </c>
      <c r="BG168">
        <v>0</v>
      </c>
      <c r="BH168">
        <v>0</v>
      </c>
      <c r="BI168">
        <v>0</v>
      </c>
      <c r="BL168" t="s">
        <v>130</v>
      </c>
      <c r="BM168">
        <v>1</v>
      </c>
      <c r="BN168">
        <v>0</v>
      </c>
      <c r="BO168">
        <v>0</v>
      </c>
      <c r="BP168">
        <v>0</v>
      </c>
      <c r="BT168">
        <v>0</v>
      </c>
      <c r="BU168">
        <v>0</v>
      </c>
      <c r="CE168" t="str">
        <f>"20:16:42.234"</f>
        <v>20:16:42.234</v>
      </c>
      <c r="CF168">
        <v>234153195</v>
      </c>
      <c r="CS168">
        <v>0</v>
      </c>
      <c r="CT168">
        <v>1</v>
      </c>
      <c r="CU168">
        <v>0</v>
      </c>
      <c r="CV168">
        <v>2</v>
      </c>
      <c r="CW168">
        <v>0</v>
      </c>
      <c r="CX168">
        <v>2</v>
      </c>
      <c r="CY168">
        <v>7</v>
      </c>
      <c r="CZ168" t="s">
        <v>131</v>
      </c>
      <c r="DA168">
        <v>116</v>
      </c>
      <c r="DB168">
        <v>3</v>
      </c>
      <c r="DC168" t="s">
        <v>132</v>
      </c>
      <c r="DD168" t="s">
        <v>133</v>
      </c>
      <c r="DG168">
        <v>8106655</v>
      </c>
      <c r="DI168">
        <v>0</v>
      </c>
      <c r="DJ168">
        <v>0</v>
      </c>
      <c r="DK168">
        <v>1</v>
      </c>
      <c r="DL168">
        <v>0</v>
      </c>
      <c r="DM168">
        <v>0</v>
      </c>
      <c r="DN168">
        <v>0</v>
      </c>
      <c r="DO168">
        <v>0</v>
      </c>
      <c r="DP168">
        <v>1</v>
      </c>
      <c r="DQ168">
        <v>0</v>
      </c>
      <c r="DR168">
        <v>0</v>
      </c>
      <c r="DS168">
        <v>0</v>
      </c>
    </row>
    <row r="169" spans="1:123" x14ac:dyDescent="0.25">
      <c r="A169" t="str">
        <f>"11/29/2023 20:16:45.038"</f>
        <v>11/29/2023 20:16:45.038</v>
      </c>
      <c r="C169" t="str">
        <f t="shared" si="24"/>
        <v>FFDF53C0</v>
      </c>
      <c r="D169" t="s">
        <v>123</v>
      </c>
      <c r="E169">
        <v>1</v>
      </c>
      <c r="F169">
        <v>1001</v>
      </c>
      <c r="G169" t="s">
        <v>134</v>
      </c>
      <c r="J169" t="s">
        <v>125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"20:16:44.703"</f>
        <v>20:16:44.703</v>
      </c>
      <c r="T169" t="str">
        <f>"20:16:44.103"</f>
        <v>20:16:44.103</v>
      </c>
      <c r="U169" t="str">
        <f t="shared" si="21"/>
        <v>AA0632</v>
      </c>
      <c r="V169">
        <v>0</v>
      </c>
      <c r="W169">
        <v>0</v>
      </c>
      <c r="X169">
        <v>2</v>
      </c>
      <c r="Y169">
        <v>0</v>
      </c>
      <c r="AA169">
        <v>0</v>
      </c>
      <c r="AB169">
        <v>8</v>
      </c>
      <c r="AC169">
        <v>3</v>
      </c>
      <c r="AD169">
        <v>0</v>
      </c>
      <c r="AE169">
        <v>9</v>
      </c>
      <c r="AF169" t="s">
        <v>126</v>
      </c>
      <c r="AG169">
        <v>0</v>
      </c>
      <c r="AH169">
        <v>0</v>
      </c>
      <c r="AI169">
        <v>2</v>
      </c>
      <c r="AJ169">
        <v>0</v>
      </c>
      <c r="AK169" t="s">
        <v>217</v>
      </c>
      <c r="AL169">
        <v>31.961846000000001</v>
      </c>
      <c r="AM169" t="s">
        <v>226</v>
      </c>
      <c r="AN169">
        <v>-101.145415</v>
      </c>
      <c r="AQ169" t="s">
        <v>129</v>
      </c>
      <c r="AR169">
        <v>-91</v>
      </c>
      <c r="AS169">
        <v>4</v>
      </c>
      <c r="AT169">
        <v>-320</v>
      </c>
      <c r="BB169" t="str">
        <f t="shared" si="22"/>
        <v>1200</v>
      </c>
      <c r="BC169">
        <v>1</v>
      </c>
      <c r="BD169" t="str">
        <f t="shared" si="25"/>
        <v xml:space="preserve">N745MB  </v>
      </c>
      <c r="BE169">
        <v>1</v>
      </c>
      <c r="BG169">
        <v>0</v>
      </c>
      <c r="BH169">
        <v>0</v>
      </c>
      <c r="BI169">
        <v>0</v>
      </c>
      <c r="BL169" t="s">
        <v>130</v>
      </c>
      <c r="BM169">
        <v>1</v>
      </c>
      <c r="BN169">
        <v>0</v>
      </c>
      <c r="BO169">
        <v>0</v>
      </c>
      <c r="BP169">
        <v>0</v>
      </c>
      <c r="BT169">
        <v>0</v>
      </c>
      <c r="BU169">
        <v>0</v>
      </c>
      <c r="CE169" t="str">
        <f>"20:16:44.708"</f>
        <v>20:16:44.708</v>
      </c>
      <c r="CF169">
        <v>707981561</v>
      </c>
      <c r="CS169">
        <v>0</v>
      </c>
      <c r="CT169">
        <v>1</v>
      </c>
      <c r="CU169">
        <v>0</v>
      </c>
      <c r="CV169">
        <v>2</v>
      </c>
      <c r="CW169">
        <v>0</v>
      </c>
      <c r="CX169">
        <v>1</v>
      </c>
      <c r="CY169">
        <v>7</v>
      </c>
      <c r="CZ169" t="s">
        <v>131</v>
      </c>
      <c r="DA169">
        <v>116</v>
      </c>
      <c r="DB169">
        <v>3</v>
      </c>
      <c r="DC169" t="s">
        <v>132</v>
      </c>
      <c r="DD169" t="s">
        <v>133</v>
      </c>
      <c r="DG169">
        <v>8107979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1</v>
      </c>
      <c r="DQ169">
        <v>0</v>
      </c>
      <c r="DR169">
        <v>0</v>
      </c>
      <c r="DS169">
        <v>0</v>
      </c>
    </row>
    <row r="170" spans="1:123" x14ac:dyDescent="0.25">
      <c r="A170" t="str">
        <f>"11/29/2023 20:16:45.069"</f>
        <v>11/29/2023 20:16:45.069</v>
      </c>
      <c r="C170" t="str">
        <f t="shared" si="24"/>
        <v>FFDF53C0</v>
      </c>
      <c r="D170" t="s">
        <v>138</v>
      </c>
      <c r="E170">
        <v>3</v>
      </c>
      <c r="H170">
        <v>160</v>
      </c>
      <c r="I170" t="s">
        <v>124</v>
      </c>
      <c r="J170" t="s">
        <v>139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"20:16:44.703"</f>
        <v>20:16:44.703</v>
      </c>
      <c r="T170" t="str">
        <f>"20:16:44.103"</f>
        <v>20:16:44.103</v>
      </c>
      <c r="U170" t="str">
        <f t="shared" si="21"/>
        <v>AA0632</v>
      </c>
      <c r="V170">
        <v>0</v>
      </c>
      <c r="W170">
        <v>0</v>
      </c>
      <c r="X170">
        <v>2</v>
      </c>
      <c r="Y170">
        <v>0</v>
      </c>
      <c r="AA170">
        <v>0</v>
      </c>
      <c r="AB170">
        <v>8</v>
      </c>
      <c r="AC170">
        <v>3</v>
      </c>
      <c r="AD170">
        <v>0</v>
      </c>
      <c r="AE170">
        <v>9</v>
      </c>
      <c r="AF170" t="s">
        <v>126</v>
      </c>
      <c r="AG170">
        <v>0</v>
      </c>
      <c r="AH170">
        <v>0</v>
      </c>
      <c r="AI170">
        <v>2</v>
      </c>
      <c r="AJ170">
        <v>0</v>
      </c>
      <c r="AK170" t="s">
        <v>217</v>
      </c>
      <c r="AL170">
        <v>31.961846000000001</v>
      </c>
      <c r="AM170" t="s">
        <v>226</v>
      </c>
      <c r="AN170">
        <v>-101.145415</v>
      </c>
      <c r="AQ170" t="s">
        <v>129</v>
      </c>
      <c r="AR170">
        <v>-91</v>
      </c>
      <c r="AS170">
        <v>4</v>
      </c>
      <c r="AT170">
        <v>-320</v>
      </c>
      <c r="BB170" t="str">
        <f t="shared" si="22"/>
        <v>1200</v>
      </c>
      <c r="BC170">
        <v>1</v>
      </c>
      <c r="BD170" t="str">
        <f t="shared" si="25"/>
        <v xml:space="preserve">N745MB  </v>
      </c>
      <c r="BE170">
        <v>1</v>
      </c>
      <c r="BG170">
        <v>0</v>
      </c>
      <c r="BH170">
        <v>0</v>
      </c>
      <c r="BI170">
        <v>0</v>
      </c>
      <c r="BL170" t="s">
        <v>130</v>
      </c>
      <c r="BM170">
        <v>1</v>
      </c>
      <c r="BN170">
        <v>0</v>
      </c>
      <c r="BO170">
        <v>0</v>
      </c>
      <c r="BP170">
        <v>0</v>
      </c>
      <c r="BT170">
        <v>0</v>
      </c>
      <c r="BU170">
        <v>0</v>
      </c>
      <c r="CE170" t="str">
        <f>"20:16:44.708"</f>
        <v>20:16:44.708</v>
      </c>
      <c r="CF170">
        <v>707981561</v>
      </c>
      <c r="CS170">
        <v>0</v>
      </c>
      <c r="CT170">
        <v>1</v>
      </c>
      <c r="CU170">
        <v>0</v>
      </c>
      <c r="CV170">
        <v>2</v>
      </c>
      <c r="CW170">
        <v>0</v>
      </c>
      <c r="CX170">
        <v>1</v>
      </c>
      <c r="CY170">
        <v>7</v>
      </c>
      <c r="CZ170" t="s">
        <v>131</v>
      </c>
      <c r="DA170">
        <v>116</v>
      </c>
      <c r="DB170">
        <v>3</v>
      </c>
      <c r="DC170" t="s">
        <v>132</v>
      </c>
      <c r="DD170" t="s">
        <v>133</v>
      </c>
      <c r="DG170">
        <v>8107979</v>
      </c>
      <c r="DI170">
        <v>0</v>
      </c>
      <c r="DJ170">
        <v>0</v>
      </c>
      <c r="DK170">
        <v>1</v>
      </c>
      <c r="DL170">
        <v>0</v>
      </c>
      <c r="DM170">
        <v>0</v>
      </c>
      <c r="DN170">
        <v>0</v>
      </c>
      <c r="DO170">
        <v>0</v>
      </c>
      <c r="DP170">
        <v>1</v>
      </c>
      <c r="DQ170">
        <v>0</v>
      </c>
      <c r="DR170">
        <v>0</v>
      </c>
      <c r="DS170">
        <v>0</v>
      </c>
    </row>
    <row r="171" spans="1:123" x14ac:dyDescent="0.25">
      <c r="A171" t="str">
        <f>"11/29/2023 20:16:45.069"</f>
        <v>11/29/2023 20:16:45.069</v>
      </c>
      <c r="C171" t="str">
        <f t="shared" si="24"/>
        <v>FFDF53C0</v>
      </c>
      <c r="D171" t="s">
        <v>135</v>
      </c>
      <c r="E171">
        <v>31</v>
      </c>
      <c r="H171">
        <v>285</v>
      </c>
      <c r="I171" t="s">
        <v>136</v>
      </c>
      <c r="J171" t="s">
        <v>137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"20:16:44.703"</f>
        <v>20:16:44.703</v>
      </c>
      <c r="T171" t="str">
        <f>"20:16:44.103"</f>
        <v>20:16:44.103</v>
      </c>
      <c r="U171" t="str">
        <f t="shared" si="21"/>
        <v>AA0632</v>
      </c>
      <c r="V171">
        <v>0</v>
      </c>
      <c r="W171">
        <v>0</v>
      </c>
      <c r="X171">
        <v>2</v>
      </c>
      <c r="Y171">
        <v>0</v>
      </c>
      <c r="AA171">
        <v>0</v>
      </c>
      <c r="AB171">
        <v>8</v>
      </c>
      <c r="AC171">
        <v>3</v>
      </c>
      <c r="AD171">
        <v>0</v>
      </c>
      <c r="AE171">
        <v>9</v>
      </c>
      <c r="AF171" t="s">
        <v>126</v>
      </c>
      <c r="AG171">
        <v>0</v>
      </c>
      <c r="AH171">
        <v>0</v>
      </c>
      <c r="AI171">
        <v>2</v>
      </c>
      <c r="AJ171">
        <v>0</v>
      </c>
      <c r="AK171" t="s">
        <v>217</v>
      </c>
      <c r="AL171">
        <v>31.961846000000001</v>
      </c>
      <c r="AM171" t="s">
        <v>226</v>
      </c>
      <c r="AN171">
        <v>-101.145415</v>
      </c>
      <c r="AQ171" t="s">
        <v>129</v>
      </c>
      <c r="AR171">
        <v>-91</v>
      </c>
      <c r="AS171">
        <v>4</v>
      </c>
      <c r="AT171">
        <v>-320</v>
      </c>
      <c r="BB171" t="str">
        <f t="shared" si="22"/>
        <v>1200</v>
      </c>
      <c r="BC171">
        <v>1</v>
      </c>
      <c r="BD171" t="str">
        <f t="shared" si="25"/>
        <v xml:space="preserve">N745MB  </v>
      </c>
      <c r="BE171">
        <v>1</v>
      </c>
      <c r="BG171">
        <v>0</v>
      </c>
      <c r="BH171">
        <v>0</v>
      </c>
      <c r="BI171">
        <v>0</v>
      </c>
      <c r="BL171" t="s">
        <v>130</v>
      </c>
      <c r="BM171">
        <v>1</v>
      </c>
      <c r="BN171">
        <v>0</v>
      </c>
      <c r="BO171">
        <v>0</v>
      </c>
      <c r="BP171">
        <v>0</v>
      </c>
      <c r="BT171">
        <v>0</v>
      </c>
      <c r="BU171">
        <v>0</v>
      </c>
      <c r="CE171" t="str">
        <f>"20:16:44.708"</f>
        <v>20:16:44.708</v>
      </c>
      <c r="CF171">
        <v>707981561</v>
      </c>
      <c r="CS171">
        <v>0</v>
      </c>
      <c r="CT171">
        <v>1</v>
      </c>
      <c r="CU171">
        <v>0</v>
      </c>
      <c r="CV171">
        <v>2</v>
      </c>
      <c r="CW171">
        <v>0</v>
      </c>
      <c r="CX171">
        <v>1</v>
      </c>
      <c r="CY171">
        <v>7</v>
      </c>
      <c r="CZ171" t="s">
        <v>131</v>
      </c>
      <c r="DA171">
        <v>116</v>
      </c>
      <c r="DB171">
        <v>3</v>
      </c>
      <c r="DC171" t="s">
        <v>132</v>
      </c>
      <c r="DD171" t="s">
        <v>133</v>
      </c>
      <c r="DG171">
        <v>8107979</v>
      </c>
      <c r="DI171">
        <v>0</v>
      </c>
      <c r="DJ171">
        <v>0</v>
      </c>
      <c r="DK171">
        <v>1</v>
      </c>
      <c r="DL171">
        <v>0</v>
      </c>
      <c r="DM171">
        <v>0</v>
      </c>
      <c r="DN171">
        <v>0</v>
      </c>
      <c r="DO171">
        <v>0</v>
      </c>
      <c r="DP171">
        <v>1</v>
      </c>
      <c r="DQ171">
        <v>0</v>
      </c>
      <c r="DR171">
        <v>0</v>
      </c>
      <c r="DS171">
        <v>0</v>
      </c>
    </row>
    <row r="172" spans="1:123" x14ac:dyDescent="0.25">
      <c r="A172" t="str">
        <f>"11/29/2023 20:16:45.069"</f>
        <v>11/29/2023 20:16:45.069</v>
      </c>
      <c r="C172" t="str">
        <f t="shared" si="24"/>
        <v>FFDF53C0</v>
      </c>
      <c r="D172" t="s">
        <v>123</v>
      </c>
      <c r="E172">
        <v>14</v>
      </c>
      <c r="F172">
        <v>1014</v>
      </c>
      <c r="G172" t="s">
        <v>124</v>
      </c>
      <c r="J172" t="s">
        <v>125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"20:16:44.703"</f>
        <v>20:16:44.703</v>
      </c>
      <c r="T172" t="str">
        <f>"20:16:44.103"</f>
        <v>20:16:44.103</v>
      </c>
      <c r="U172" t="str">
        <f t="shared" si="21"/>
        <v>AA0632</v>
      </c>
      <c r="V172">
        <v>0</v>
      </c>
      <c r="W172">
        <v>0</v>
      </c>
      <c r="X172">
        <v>2</v>
      </c>
      <c r="Y172">
        <v>0</v>
      </c>
      <c r="AA172">
        <v>0</v>
      </c>
      <c r="AB172">
        <v>8</v>
      </c>
      <c r="AC172">
        <v>3</v>
      </c>
      <c r="AD172">
        <v>0</v>
      </c>
      <c r="AE172">
        <v>9</v>
      </c>
      <c r="AF172" t="s">
        <v>126</v>
      </c>
      <c r="AG172">
        <v>0</v>
      </c>
      <c r="AH172">
        <v>0</v>
      </c>
      <c r="AI172">
        <v>2</v>
      </c>
      <c r="AJ172">
        <v>0</v>
      </c>
      <c r="AK172" t="s">
        <v>217</v>
      </c>
      <c r="AL172">
        <v>31.961846000000001</v>
      </c>
      <c r="AM172" t="s">
        <v>226</v>
      </c>
      <c r="AN172">
        <v>-101.145415</v>
      </c>
      <c r="AQ172" t="s">
        <v>129</v>
      </c>
      <c r="AR172">
        <v>-91</v>
      </c>
      <c r="AS172">
        <v>4</v>
      </c>
      <c r="AT172">
        <v>-320</v>
      </c>
      <c r="BB172" t="str">
        <f t="shared" si="22"/>
        <v>1200</v>
      </c>
      <c r="BC172">
        <v>1</v>
      </c>
      <c r="BD172" t="str">
        <f t="shared" si="25"/>
        <v xml:space="preserve">N745MB  </v>
      </c>
      <c r="BE172">
        <v>1</v>
      </c>
      <c r="BG172">
        <v>0</v>
      </c>
      <c r="BH172">
        <v>0</v>
      </c>
      <c r="BI172">
        <v>0</v>
      </c>
      <c r="BL172" t="s">
        <v>130</v>
      </c>
      <c r="BM172">
        <v>1</v>
      </c>
      <c r="BN172">
        <v>0</v>
      </c>
      <c r="BO172">
        <v>0</v>
      </c>
      <c r="BP172">
        <v>0</v>
      </c>
      <c r="BT172">
        <v>0</v>
      </c>
      <c r="BU172">
        <v>0</v>
      </c>
      <c r="CE172" t="str">
        <f>"20:16:44.708"</f>
        <v>20:16:44.708</v>
      </c>
      <c r="CF172">
        <v>707981561</v>
      </c>
      <c r="CS172">
        <v>0</v>
      </c>
      <c r="CT172">
        <v>1</v>
      </c>
      <c r="CU172">
        <v>0</v>
      </c>
      <c r="CV172">
        <v>2</v>
      </c>
      <c r="CW172">
        <v>0</v>
      </c>
      <c r="CX172">
        <v>1</v>
      </c>
      <c r="CY172">
        <v>7</v>
      </c>
      <c r="CZ172" t="s">
        <v>131</v>
      </c>
      <c r="DA172">
        <v>116</v>
      </c>
      <c r="DB172">
        <v>3</v>
      </c>
      <c r="DC172" t="s">
        <v>132</v>
      </c>
      <c r="DD172" t="s">
        <v>133</v>
      </c>
      <c r="DG172">
        <v>8107979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1</v>
      </c>
      <c r="DQ172">
        <v>0</v>
      </c>
      <c r="DR172">
        <v>0</v>
      </c>
      <c r="DS172">
        <v>0</v>
      </c>
    </row>
    <row r="173" spans="1:123" x14ac:dyDescent="0.25">
      <c r="A173" t="str">
        <f>"11/29/2023 20:16:46.648"</f>
        <v>11/29/2023 20:16:46.648</v>
      </c>
      <c r="C173" t="str">
        <f t="shared" si="24"/>
        <v>FFDF53C0</v>
      </c>
      <c r="D173" t="s">
        <v>138</v>
      </c>
      <c r="E173">
        <v>3</v>
      </c>
      <c r="H173">
        <v>160</v>
      </c>
      <c r="I173" t="s">
        <v>124</v>
      </c>
      <c r="J173" t="s">
        <v>139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"20:16:46.297"</f>
        <v>20:16:46.297</v>
      </c>
      <c r="T173" t="str">
        <f>"20:16:44.097"</f>
        <v>20:16:44.097</v>
      </c>
      <c r="U173" t="str">
        <f t="shared" si="21"/>
        <v>AA0632</v>
      </c>
      <c r="V173">
        <v>0</v>
      </c>
      <c r="W173">
        <v>0</v>
      </c>
      <c r="X173">
        <v>2</v>
      </c>
      <c r="Y173">
        <v>0</v>
      </c>
      <c r="AA173">
        <v>0</v>
      </c>
      <c r="AB173">
        <v>8</v>
      </c>
      <c r="AC173">
        <v>3</v>
      </c>
      <c r="AD173">
        <v>0</v>
      </c>
      <c r="AE173">
        <v>9</v>
      </c>
      <c r="AF173" t="s">
        <v>126</v>
      </c>
      <c r="AG173">
        <v>0</v>
      </c>
      <c r="AH173">
        <v>0</v>
      </c>
      <c r="AI173">
        <v>2</v>
      </c>
      <c r="AJ173">
        <v>0</v>
      </c>
      <c r="AK173" t="s">
        <v>202</v>
      </c>
      <c r="AL173">
        <v>31.961888999999999</v>
      </c>
      <c r="AM173" t="s">
        <v>227</v>
      </c>
      <c r="AN173">
        <v>-101.146231</v>
      </c>
      <c r="AQ173" t="s">
        <v>129</v>
      </c>
      <c r="AR173">
        <v>-91</v>
      </c>
      <c r="AS173">
        <v>4</v>
      </c>
      <c r="AT173">
        <v>-320</v>
      </c>
      <c r="BB173" t="str">
        <f t="shared" si="22"/>
        <v>1200</v>
      </c>
      <c r="BC173">
        <v>1</v>
      </c>
      <c r="BD173" t="str">
        <f t="shared" si="25"/>
        <v xml:space="preserve">N745MB  </v>
      </c>
      <c r="BE173">
        <v>1</v>
      </c>
      <c r="BG173">
        <v>0</v>
      </c>
      <c r="BH173">
        <v>0</v>
      </c>
      <c r="BI173">
        <v>0</v>
      </c>
      <c r="BL173" t="s">
        <v>130</v>
      </c>
      <c r="BM173">
        <v>1</v>
      </c>
      <c r="BN173">
        <v>0</v>
      </c>
      <c r="BO173">
        <v>0</v>
      </c>
      <c r="BP173">
        <v>0</v>
      </c>
      <c r="BT173">
        <v>0</v>
      </c>
      <c r="BU173">
        <v>0</v>
      </c>
      <c r="CE173" t="str">
        <f>"20:16:46.304"</f>
        <v>20:16:46.304</v>
      </c>
      <c r="CF173">
        <v>303873448</v>
      </c>
      <c r="CS173">
        <v>0</v>
      </c>
      <c r="CT173">
        <v>1</v>
      </c>
      <c r="CU173">
        <v>0</v>
      </c>
      <c r="CV173">
        <v>2</v>
      </c>
      <c r="CW173">
        <v>0</v>
      </c>
      <c r="CX173">
        <v>1</v>
      </c>
      <c r="CY173">
        <v>7</v>
      </c>
      <c r="CZ173" t="s">
        <v>131</v>
      </c>
      <c r="DA173">
        <v>116</v>
      </c>
      <c r="DB173">
        <v>3</v>
      </c>
      <c r="DC173" t="s">
        <v>132</v>
      </c>
      <c r="DD173" t="s">
        <v>133</v>
      </c>
      <c r="DG173">
        <v>8108871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1</v>
      </c>
      <c r="DQ173">
        <v>0</v>
      </c>
      <c r="DR173">
        <v>0</v>
      </c>
      <c r="DS173">
        <v>0</v>
      </c>
    </row>
    <row r="174" spans="1:123" x14ac:dyDescent="0.25">
      <c r="A174" t="str">
        <f>"11/29/2023 20:16:46.648"</f>
        <v>11/29/2023 20:16:46.648</v>
      </c>
      <c r="C174" t="str">
        <f t="shared" si="24"/>
        <v>FFDF53C0</v>
      </c>
      <c r="D174" t="s">
        <v>135</v>
      </c>
      <c r="E174">
        <v>31</v>
      </c>
      <c r="H174">
        <v>285</v>
      </c>
      <c r="I174" t="s">
        <v>136</v>
      </c>
      <c r="J174" t="s">
        <v>137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"20:16:46.297"</f>
        <v>20:16:46.297</v>
      </c>
      <c r="T174" t="str">
        <f>"20:16:44.097"</f>
        <v>20:16:44.097</v>
      </c>
      <c r="U174" t="str">
        <f t="shared" si="21"/>
        <v>AA0632</v>
      </c>
      <c r="V174">
        <v>0</v>
      </c>
      <c r="W174">
        <v>0</v>
      </c>
      <c r="X174">
        <v>2</v>
      </c>
      <c r="Y174">
        <v>0</v>
      </c>
      <c r="AA174">
        <v>0</v>
      </c>
      <c r="AB174">
        <v>8</v>
      </c>
      <c r="AC174">
        <v>3</v>
      </c>
      <c r="AD174">
        <v>0</v>
      </c>
      <c r="AE174">
        <v>9</v>
      </c>
      <c r="AF174" t="s">
        <v>126</v>
      </c>
      <c r="AG174">
        <v>0</v>
      </c>
      <c r="AH174">
        <v>0</v>
      </c>
      <c r="AI174">
        <v>2</v>
      </c>
      <c r="AJ174">
        <v>0</v>
      </c>
      <c r="AK174" t="s">
        <v>202</v>
      </c>
      <c r="AL174">
        <v>31.961888999999999</v>
      </c>
      <c r="AM174" t="s">
        <v>227</v>
      </c>
      <c r="AN174">
        <v>-101.146231</v>
      </c>
      <c r="AQ174" t="s">
        <v>129</v>
      </c>
      <c r="AR174">
        <v>-91</v>
      </c>
      <c r="AS174">
        <v>4</v>
      </c>
      <c r="AT174">
        <v>-320</v>
      </c>
      <c r="BB174" t="str">
        <f t="shared" si="22"/>
        <v>1200</v>
      </c>
      <c r="BC174">
        <v>1</v>
      </c>
      <c r="BD174" t="str">
        <f t="shared" si="25"/>
        <v xml:space="preserve">N745MB  </v>
      </c>
      <c r="BE174">
        <v>1</v>
      </c>
      <c r="BG174">
        <v>0</v>
      </c>
      <c r="BH174">
        <v>0</v>
      </c>
      <c r="BI174">
        <v>0</v>
      </c>
      <c r="BL174" t="s">
        <v>130</v>
      </c>
      <c r="BM174">
        <v>1</v>
      </c>
      <c r="BN174">
        <v>0</v>
      </c>
      <c r="BO174">
        <v>0</v>
      </c>
      <c r="BP174">
        <v>0</v>
      </c>
      <c r="BT174">
        <v>0</v>
      </c>
      <c r="BU174">
        <v>0</v>
      </c>
      <c r="CE174" t="str">
        <f>"20:16:46.304"</f>
        <v>20:16:46.304</v>
      </c>
      <c r="CF174">
        <v>303873448</v>
      </c>
      <c r="CS174">
        <v>0</v>
      </c>
      <c r="CT174">
        <v>1</v>
      </c>
      <c r="CU174">
        <v>0</v>
      </c>
      <c r="CV174">
        <v>2</v>
      </c>
      <c r="CW174">
        <v>0</v>
      </c>
      <c r="CX174">
        <v>1</v>
      </c>
      <c r="CY174">
        <v>7</v>
      </c>
      <c r="CZ174" t="s">
        <v>131</v>
      </c>
      <c r="DA174">
        <v>116</v>
      </c>
      <c r="DB174">
        <v>3</v>
      </c>
      <c r="DC174" t="s">
        <v>132</v>
      </c>
      <c r="DD174" t="s">
        <v>133</v>
      </c>
      <c r="DG174">
        <v>8108871</v>
      </c>
      <c r="DI174">
        <v>0</v>
      </c>
      <c r="DJ174">
        <v>0</v>
      </c>
      <c r="DK174">
        <v>1</v>
      </c>
      <c r="DL174">
        <v>0</v>
      </c>
      <c r="DM174">
        <v>0</v>
      </c>
      <c r="DN174">
        <v>0</v>
      </c>
      <c r="DO174">
        <v>0</v>
      </c>
      <c r="DP174">
        <v>1</v>
      </c>
      <c r="DQ174">
        <v>0</v>
      </c>
      <c r="DR174">
        <v>0</v>
      </c>
      <c r="DS174">
        <v>0</v>
      </c>
    </row>
    <row r="175" spans="1:123" x14ac:dyDescent="0.25">
      <c r="A175" t="str">
        <f>"11/29/2023 20:16:46.648"</f>
        <v>11/29/2023 20:16:46.648</v>
      </c>
      <c r="C175" t="str">
        <f t="shared" si="24"/>
        <v>FFDF53C0</v>
      </c>
      <c r="D175" t="s">
        <v>123</v>
      </c>
      <c r="E175">
        <v>14</v>
      </c>
      <c r="F175">
        <v>1014</v>
      </c>
      <c r="G175" t="s">
        <v>124</v>
      </c>
      <c r="J175" t="s">
        <v>125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"20:16:46.297"</f>
        <v>20:16:46.297</v>
      </c>
      <c r="T175" t="str">
        <f>"20:16:44.097"</f>
        <v>20:16:44.097</v>
      </c>
      <c r="U175" t="str">
        <f t="shared" si="21"/>
        <v>AA0632</v>
      </c>
      <c r="V175">
        <v>0</v>
      </c>
      <c r="W175">
        <v>0</v>
      </c>
      <c r="X175">
        <v>2</v>
      </c>
      <c r="Y175">
        <v>0</v>
      </c>
      <c r="AA175">
        <v>0</v>
      </c>
      <c r="AB175">
        <v>8</v>
      </c>
      <c r="AC175">
        <v>3</v>
      </c>
      <c r="AD175">
        <v>0</v>
      </c>
      <c r="AE175">
        <v>9</v>
      </c>
      <c r="AF175" t="s">
        <v>126</v>
      </c>
      <c r="AG175">
        <v>0</v>
      </c>
      <c r="AH175">
        <v>0</v>
      </c>
      <c r="AI175">
        <v>2</v>
      </c>
      <c r="AJ175">
        <v>0</v>
      </c>
      <c r="AK175" t="s">
        <v>202</v>
      </c>
      <c r="AL175">
        <v>31.961888999999999</v>
      </c>
      <c r="AM175" t="s">
        <v>227</v>
      </c>
      <c r="AN175">
        <v>-101.146231</v>
      </c>
      <c r="AQ175" t="s">
        <v>129</v>
      </c>
      <c r="AR175">
        <v>-91</v>
      </c>
      <c r="AS175">
        <v>4</v>
      </c>
      <c r="AT175">
        <v>-320</v>
      </c>
      <c r="BB175" t="str">
        <f t="shared" si="22"/>
        <v>1200</v>
      </c>
      <c r="BC175">
        <v>1</v>
      </c>
      <c r="BD175" t="str">
        <f t="shared" si="25"/>
        <v xml:space="preserve">N745MB  </v>
      </c>
      <c r="BE175">
        <v>1</v>
      </c>
      <c r="BG175">
        <v>0</v>
      </c>
      <c r="BH175">
        <v>0</v>
      </c>
      <c r="BI175">
        <v>0</v>
      </c>
      <c r="BL175" t="s">
        <v>130</v>
      </c>
      <c r="BM175">
        <v>1</v>
      </c>
      <c r="BN175">
        <v>0</v>
      </c>
      <c r="BO175">
        <v>0</v>
      </c>
      <c r="BP175">
        <v>0</v>
      </c>
      <c r="BT175">
        <v>0</v>
      </c>
      <c r="BU175">
        <v>0</v>
      </c>
      <c r="CE175" t="str">
        <f>"20:16:46.304"</f>
        <v>20:16:46.304</v>
      </c>
      <c r="CF175">
        <v>303873448</v>
      </c>
      <c r="CS175">
        <v>0</v>
      </c>
      <c r="CT175">
        <v>1</v>
      </c>
      <c r="CU175">
        <v>0</v>
      </c>
      <c r="CV175">
        <v>2</v>
      </c>
      <c r="CW175">
        <v>0</v>
      </c>
      <c r="CX175">
        <v>1</v>
      </c>
      <c r="CY175">
        <v>7</v>
      </c>
      <c r="CZ175" t="s">
        <v>131</v>
      </c>
      <c r="DA175">
        <v>116</v>
      </c>
      <c r="DB175">
        <v>3</v>
      </c>
      <c r="DC175" t="s">
        <v>132</v>
      </c>
      <c r="DD175" t="s">
        <v>133</v>
      </c>
      <c r="DG175">
        <v>8108871</v>
      </c>
      <c r="DI175">
        <v>0</v>
      </c>
      <c r="DJ175">
        <v>0</v>
      </c>
      <c r="DK175">
        <v>1</v>
      </c>
      <c r="DL175">
        <v>0</v>
      </c>
      <c r="DM175">
        <v>0</v>
      </c>
      <c r="DN175">
        <v>0</v>
      </c>
      <c r="DO175">
        <v>0</v>
      </c>
      <c r="DP175">
        <v>1</v>
      </c>
      <c r="DQ175">
        <v>0</v>
      </c>
      <c r="DR175">
        <v>0</v>
      </c>
      <c r="DS175">
        <v>0</v>
      </c>
    </row>
    <row r="176" spans="1:123" x14ac:dyDescent="0.25">
      <c r="A176" t="str">
        <f>"11/29/2023 20:16:46.757"</f>
        <v>11/29/2023 20:16:46.757</v>
      </c>
      <c r="C176" t="str">
        <f t="shared" si="24"/>
        <v>FFDF53C0</v>
      </c>
      <c r="D176" t="s">
        <v>123</v>
      </c>
      <c r="E176">
        <v>1</v>
      </c>
      <c r="F176">
        <v>1001</v>
      </c>
      <c r="G176" t="s">
        <v>134</v>
      </c>
      <c r="J176" t="s">
        <v>125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"20:16:46.297"</f>
        <v>20:16:46.297</v>
      </c>
      <c r="T176" t="str">
        <f>"20:16:44.097"</f>
        <v>20:16:44.097</v>
      </c>
      <c r="U176" t="str">
        <f t="shared" si="21"/>
        <v>AA0632</v>
      </c>
      <c r="V176">
        <v>0</v>
      </c>
      <c r="W176">
        <v>0</v>
      </c>
      <c r="X176">
        <v>2</v>
      </c>
      <c r="Y176">
        <v>0</v>
      </c>
      <c r="AA176">
        <v>0</v>
      </c>
      <c r="AB176">
        <v>8</v>
      </c>
      <c r="AC176">
        <v>3</v>
      </c>
      <c r="AD176">
        <v>0</v>
      </c>
      <c r="AE176">
        <v>9</v>
      </c>
      <c r="AF176" t="s">
        <v>126</v>
      </c>
      <c r="AG176">
        <v>0</v>
      </c>
      <c r="AH176">
        <v>0</v>
      </c>
      <c r="AI176">
        <v>2</v>
      </c>
      <c r="AJ176">
        <v>0</v>
      </c>
      <c r="AK176" t="s">
        <v>202</v>
      </c>
      <c r="AL176">
        <v>31.961888999999999</v>
      </c>
      <c r="AM176" t="s">
        <v>227</v>
      </c>
      <c r="AN176">
        <v>-101.146231</v>
      </c>
      <c r="AQ176" t="s">
        <v>129</v>
      </c>
      <c r="AR176">
        <v>-91</v>
      </c>
      <c r="AS176">
        <v>4</v>
      </c>
      <c r="AT176">
        <v>-320</v>
      </c>
      <c r="BB176" t="str">
        <f t="shared" si="22"/>
        <v>1200</v>
      </c>
      <c r="BC176">
        <v>1</v>
      </c>
      <c r="BD176" t="str">
        <f t="shared" si="25"/>
        <v xml:space="preserve">N745MB  </v>
      </c>
      <c r="BE176">
        <v>1</v>
      </c>
      <c r="BG176">
        <v>0</v>
      </c>
      <c r="BH176">
        <v>0</v>
      </c>
      <c r="BI176">
        <v>0</v>
      </c>
      <c r="BL176" t="s">
        <v>130</v>
      </c>
      <c r="BM176">
        <v>1</v>
      </c>
      <c r="BN176">
        <v>0</v>
      </c>
      <c r="BO176">
        <v>0</v>
      </c>
      <c r="BP176">
        <v>0</v>
      </c>
      <c r="BT176">
        <v>0</v>
      </c>
      <c r="BU176">
        <v>0</v>
      </c>
      <c r="CE176" t="str">
        <f>"20:16:46.304"</f>
        <v>20:16:46.304</v>
      </c>
      <c r="CF176">
        <v>303873448</v>
      </c>
      <c r="CS176">
        <v>0</v>
      </c>
      <c r="CT176">
        <v>1</v>
      </c>
      <c r="CU176">
        <v>0</v>
      </c>
      <c r="CV176">
        <v>2</v>
      </c>
      <c r="CW176">
        <v>0</v>
      </c>
      <c r="CX176">
        <v>1</v>
      </c>
      <c r="CY176">
        <v>7</v>
      </c>
      <c r="CZ176" t="s">
        <v>131</v>
      </c>
      <c r="DA176">
        <v>116</v>
      </c>
      <c r="DB176">
        <v>3</v>
      </c>
      <c r="DC176" t="s">
        <v>132</v>
      </c>
      <c r="DD176" t="s">
        <v>133</v>
      </c>
      <c r="DG176">
        <v>8108871</v>
      </c>
      <c r="DI176">
        <v>0</v>
      </c>
      <c r="DJ176">
        <v>0</v>
      </c>
      <c r="DK176">
        <v>1</v>
      </c>
      <c r="DL176">
        <v>0</v>
      </c>
      <c r="DM176">
        <v>0</v>
      </c>
      <c r="DN176">
        <v>0</v>
      </c>
      <c r="DO176">
        <v>0</v>
      </c>
      <c r="DP176">
        <v>1</v>
      </c>
      <c r="DQ176">
        <v>0</v>
      </c>
      <c r="DR176">
        <v>0</v>
      </c>
      <c r="DS176">
        <v>0</v>
      </c>
    </row>
    <row r="177" spans="1:123" x14ac:dyDescent="0.25">
      <c r="A177" t="str">
        <f>"11/29/2023 20:16:48.476"</f>
        <v>11/29/2023 20:16:48.476</v>
      </c>
      <c r="C177" t="str">
        <f t="shared" si="24"/>
        <v>FFDF53C0</v>
      </c>
      <c r="D177" t="s">
        <v>123</v>
      </c>
      <c r="E177">
        <v>1</v>
      </c>
      <c r="F177">
        <v>1001</v>
      </c>
      <c r="G177" t="s">
        <v>134</v>
      </c>
      <c r="J177" t="s">
        <v>125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"20:16:48.141"</f>
        <v>20:16:48.141</v>
      </c>
      <c r="T177" t="str">
        <f>"20:16:46.741"</f>
        <v>20:16:46.741</v>
      </c>
      <c r="U177" t="str">
        <f t="shared" si="21"/>
        <v>AA0632</v>
      </c>
      <c r="V177">
        <v>0</v>
      </c>
      <c r="W177">
        <v>0</v>
      </c>
      <c r="X177">
        <v>2</v>
      </c>
      <c r="Y177">
        <v>0</v>
      </c>
      <c r="AA177">
        <v>0</v>
      </c>
      <c r="AB177">
        <v>8</v>
      </c>
      <c r="AC177">
        <v>3</v>
      </c>
      <c r="AD177">
        <v>0</v>
      </c>
      <c r="AE177">
        <v>9</v>
      </c>
      <c r="AF177" t="s">
        <v>126</v>
      </c>
      <c r="AG177">
        <v>0</v>
      </c>
      <c r="AH177">
        <v>0</v>
      </c>
      <c r="AI177">
        <v>2</v>
      </c>
      <c r="AJ177">
        <v>0</v>
      </c>
      <c r="AK177" t="s">
        <v>204</v>
      </c>
      <c r="AL177">
        <v>31.961932000000001</v>
      </c>
      <c r="AM177" t="s">
        <v>228</v>
      </c>
      <c r="AN177">
        <v>-101.147153</v>
      </c>
      <c r="AQ177" t="s">
        <v>129</v>
      </c>
      <c r="AR177">
        <v>-91</v>
      </c>
      <c r="AS177">
        <v>6</v>
      </c>
      <c r="AT177">
        <v>-256</v>
      </c>
      <c r="BB177" t="str">
        <f t="shared" si="22"/>
        <v>1200</v>
      </c>
      <c r="BC177">
        <v>1</v>
      </c>
      <c r="BD177" t="str">
        <f t="shared" si="25"/>
        <v xml:space="preserve">N745MB  </v>
      </c>
      <c r="BE177">
        <v>1</v>
      </c>
      <c r="BG177">
        <v>0</v>
      </c>
      <c r="BH177">
        <v>0</v>
      </c>
      <c r="BI177">
        <v>0</v>
      </c>
      <c r="BL177" t="s">
        <v>130</v>
      </c>
      <c r="BM177">
        <v>1</v>
      </c>
      <c r="BN177">
        <v>0</v>
      </c>
      <c r="BO177">
        <v>0</v>
      </c>
      <c r="BP177">
        <v>0</v>
      </c>
      <c r="BT177">
        <v>0</v>
      </c>
      <c r="BU177">
        <v>0</v>
      </c>
      <c r="CE177" t="str">
        <f>"20:16:48.144"</f>
        <v>20:16:48.144</v>
      </c>
      <c r="CF177">
        <v>143746647</v>
      </c>
      <c r="CS177">
        <v>0</v>
      </c>
      <c r="CT177">
        <v>1</v>
      </c>
      <c r="CU177">
        <v>0</v>
      </c>
      <c r="CV177">
        <v>2</v>
      </c>
      <c r="CW177">
        <v>0</v>
      </c>
      <c r="CX177">
        <v>2</v>
      </c>
      <c r="CY177">
        <v>7</v>
      </c>
      <c r="CZ177" t="s">
        <v>131</v>
      </c>
      <c r="DA177">
        <v>116</v>
      </c>
      <c r="DB177">
        <v>3</v>
      </c>
      <c r="DC177" t="s">
        <v>132</v>
      </c>
      <c r="DD177" t="s">
        <v>133</v>
      </c>
      <c r="DG177">
        <v>8109906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1</v>
      </c>
      <c r="DQ177">
        <v>0</v>
      </c>
      <c r="DR177">
        <v>0</v>
      </c>
      <c r="DS177">
        <v>0</v>
      </c>
    </row>
    <row r="178" spans="1:123" x14ac:dyDescent="0.25">
      <c r="A178" t="str">
        <f>"11/29/2023 20:16:48.476"</f>
        <v>11/29/2023 20:16:48.476</v>
      </c>
      <c r="C178" t="str">
        <f t="shared" ref="C178:C196" si="28">"FFDF53C0"</f>
        <v>FFDF53C0</v>
      </c>
      <c r="D178" t="s">
        <v>138</v>
      </c>
      <c r="E178">
        <v>3</v>
      </c>
      <c r="H178">
        <v>160</v>
      </c>
      <c r="I178" t="s">
        <v>124</v>
      </c>
      <c r="J178" t="s">
        <v>139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"20:16:48.141"</f>
        <v>20:16:48.141</v>
      </c>
      <c r="T178" t="str">
        <f>"20:16:46.741"</f>
        <v>20:16:46.741</v>
      </c>
      <c r="U178" t="str">
        <f t="shared" si="21"/>
        <v>AA0632</v>
      </c>
      <c r="V178">
        <v>0</v>
      </c>
      <c r="W178">
        <v>0</v>
      </c>
      <c r="X178">
        <v>2</v>
      </c>
      <c r="Y178">
        <v>0</v>
      </c>
      <c r="AA178">
        <v>0</v>
      </c>
      <c r="AB178">
        <v>8</v>
      </c>
      <c r="AC178">
        <v>3</v>
      </c>
      <c r="AD178">
        <v>0</v>
      </c>
      <c r="AE178">
        <v>9</v>
      </c>
      <c r="AF178" t="s">
        <v>126</v>
      </c>
      <c r="AG178">
        <v>0</v>
      </c>
      <c r="AH178">
        <v>0</v>
      </c>
      <c r="AI178">
        <v>2</v>
      </c>
      <c r="AJ178">
        <v>0</v>
      </c>
      <c r="AK178" t="s">
        <v>204</v>
      </c>
      <c r="AL178">
        <v>31.961932000000001</v>
      </c>
      <c r="AM178" t="s">
        <v>228</v>
      </c>
      <c r="AN178">
        <v>-101.147153</v>
      </c>
      <c r="AQ178" t="s">
        <v>129</v>
      </c>
      <c r="AR178">
        <v>-91</v>
      </c>
      <c r="AS178">
        <v>6</v>
      </c>
      <c r="AT178">
        <v>-256</v>
      </c>
      <c r="BB178" t="str">
        <f t="shared" si="22"/>
        <v>1200</v>
      </c>
      <c r="BC178">
        <v>1</v>
      </c>
      <c r="BD178" t="str">
        <f t="shared" si="25"/>
        <v xml:space="preserve">N745MB  </v>
      </c>
      <c r="BE178">
        <v>1</v>
      </c>
      <c r="BG178">
        <v>0</v>
      </c>
      <c r="BH178">
        <v>0</v>
      </c>
      <c r="BI178">
        <v>0</v>
      </c>
      <c r="BL178" t="s">
        <v>130</v>
      </c>
      <c r="BM178">
        <v>1</v>
      </c>
      <c r="BN178">
        <v>0</v>
      </c>
      <c r="BO178">
        <v>0</v>
      </c>
      <c r="BP178">
        <v>0</v>
      </c>
      <c r="BT178">
        <v>0</v>
      </c>
      <c r="BU178">
        <v>0</v>
      </c>
      <c r="CE178" t="str">
        <f>"20:16:48.144"</f>
        <v>20:16:48.144</v>
      </c>
      <c r="CF178">
        <v>143746647</v>
      </c>
      <c r="CS178">
        <v>0</v>
      </c>
      <c r="CT178">
        <v>1</v>
      </c>
      <c r="CU178">
        <v>0</v>
      </c>
      <c r="CV178">
        <v>2</v>
      </c>
      <c r="CW178">
        <v>0</v>
      </c>
      <c r="CX178">
        <v>2</v>
      </c>
      <c r="CY178">
        <v>7</v>
      </c>
      <c r="CZ178" t="s">
        <v>131</v>
      </c>
      <c r="DA178">
        <v>116</v>
      </c>
      <c r="DB178">
        <v>3</v>
      </c>
      <c r="DC178" t="s">
        <v>132</v>
      </c>
      <c r="DD178" t="s">
        <v>133</v>
      </c>
      <c r="DG178">
        <v>8109906</v>
      </c>
      <c r="DI178">
        <v>0</v>
      </c>
      <c r="DJ178">
        <v>0</v>
      </c>
      <c r="DK178">
        <v>1</v>
      </c>
      <c r="DL178">
        <v>0</v>
      </c>
      <c r="DM178">
        <v>0</v>
      </c>
      <c r="DN178">
        <v>0</v>
      </c>
      <c r="DO178">
        <v>0</v>
      </c>
      <c r="DP178">
        <v>1</v>
      </c>
      <c r="DQ178">
        <v>0</v>
      </c>
      <c r="DR178">
        <v>0</v>
      </c>
      <c r="DS178">
        <v>0</v>
      </c>
    </row>
    <row r="179" spans="1:123" x14ac:dyDescent="0.25">
      <c r="A179" t="str">
        <f>"11/29/2023 20:16:48.476"</f>
        <v>11/29/2023 20:16:48.476</v>
      </c>
      <c r="C179" t="str">
        <f t="shared" si="28"/>
        <v>FFDF53C0</v>
      </c>
      <c r="D179" t="s">
        <v>135</v>
      </c>
      <c r="E179">
        <v>31</v>
      </c>
      <c r="H179">
        <v>285</v>
      </c>
      <c r="I179" t="s">
        <v>136</v>
      </c>
      <c r="J179" t="s">
        <v>137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"20:16:48.141"</f>
        <v>20:16:48.141</v>
      </c>
      <c r="T179" t="str">
        <f>"20:16:46.741"</f>
        <v>20:16:46.741</v>
      </c>
      <c r="U179" t="str">
        <f t="shared" si="21"/>
        <v>AA0632</v>
      </c>
      <c r="V179">
        <v>0</v>
      </c>
      <c r="W179">
        <v>0</v>
      </c>
      <c r="X179">
        <v>2</v>
      </c>
      <c r="Y179">
        <v>0</v>
      </c>
      <c r="AA179">
        <v>0</v>
      </c>
      <c r="AB179">
        <v>8</v>
      </c>
      <c r="AC179">
        <v>3</v>
      </c>
      <c r="AD179">
        <v>0</v>
      </c>
      <c r="AE179">
        <v>9</v>
      </c>
      <c r="AF179" t="s">
        <v>126</v>
      </c>
      <c r="AG179">
        <v>0</v>
      </c>
      <c r="AH179">
        <v>0</v>
      </c>
      <c r="AI179">
        <v>2</v>
      </c>
      <c r="AJ179">
        <v>0</v>
      </c>
      <c r="AK179" t="s">
        <v>204</v>
      </c>
      <c r="AL179">
        <v>31.961932000000001</v>
      </c>
      <c r="AM179" t="s">
        <v>228</v>
      </c>
      <c r="AN179">
        <v>-101.147153</v>
      </c>
      <c r="AQ179" t="s">
        <v>129</v>
      </c>
      <c r="AR179">
        <v>-91</v>
      </c>
      <c r="AS179">
        <v>6</v>
      </c>
      <c r="AT179">
        <v>-256</v>
      </c>
      <c r="BB179" t="str">
        <f t="shared" si="22"/>
        <v>1200</v>
      </c>
      <c r="BC179">
        <v>1</v>
      </c>
      <c r="BD179" t="str">
        <f t="shared" si="25"/>
        <v xml:space="preserve">N745MB  </v>
      </c>
      <c r="BE179">
        <v>1</v>
      </c>
      <c r="BG179">
        <v>0</v>
      </c>
      <c r="BH179">
        <v>0</v>
      </c>
      <c r="BI179">
        <v>0</v>
      </c>
      <c r="BL179" t="s">
        <v>130</v>
      </c>
      <c r="BM179">
        <v>1</v>
      </c>
      <c r="BN179">
        <v>0</v>
      </c>
      <c r="BO179">
        <v>0</v>
      </c>
      <c r="BP179">
        <v>0</v>
      </c>
      <c r="BT179">
        <v>0</v>
      </c>
      <c r="BU179">
        <v>0</v>
      </c>
      <c r="CE179" t="str">
        <f>"20:16:48.144"</f>
        <v>20:16:48.144</v>
      </c>
      <c r="CF179">
        <v>143746647</v>
      </c>
      <c r="CS179">
        <v>0</v>
      </c>
      <c r="CT179">
        <v>1</v>
      </c>
      <c r="CU179">
        <v>0</v>
      </c>
      <c r="CV179">
        <v>2</v>
      </c>
      <c r="CW179">
        <v>0</v>
      </c>
      <c r="CX179">
        <v>2</v>
      </c>
      <c r="CY179">
        <v>7</v>
      </c>
      <c r="CZ179" t="s">
        <v>131</v>
      </c>
      <c r="DA179">
        <v>116</v>
      </c>
      <c r="DB179">
        <v>3</v>
      </c>
      <c r="DC179" t="s">
        <v>132</v>
      </c>
      <c r="DD179" t="s">
        <v>133</v>
      </c>
      <c r="DG179">
        <v>8109906</v>
      </c>
      <c r="DI179">
        <v>0</v>
      </c>
      <c r="DJ179">
        <v>0</v>
      </c>
      <c r="DK179">
        <v>1</v>
      </c>
      <c r="DL179">
        <v>0</v>
      </c>
      <c r="DM179">
        <v>0</v>
      </c>
      <c r="DN179">
        <v>0</v>
      </c>
      <c r="DO179">
        <v>0</v>
      </c>
      <c r="DP179">
        <v>1</v>
      </c>
      <c r="DQ179">
        <v>0</v>
      </c>
      <c r="DR179">
        <v>0</v>
      </c>
      <c r="DS179">
        <v>0</v>
      </c>
    </row>
    <row r="180" spans="1:123" x14ac:dyDescent="0.25">
      <c r="A180" t="str">
        <f>"11/29/2023 20:16:48.476"</f>
        <v>11/29/2023 20:16:48.476</v>
      </c>
      <c r="C180" t="str">
        <f t="shared" si="28"/>
        <v>FFDF53C0</v>
      </c>
      <c r="D180" t="s">
        <v>123</v>
      </c>
      <c r="E180">
        <v>14</v>
      </c>
      <c r="F180">
        <v>1014</v>
      </c>
      <c r="G180" t="s">
        <v>124</v>
      </c>
      <c r="J180" t="s">
        <v>125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"20:16:48.141"</f>
        <v>20:16:48.141</v>
      </c>
      <c r="T180" t="str">
        <f>"20:16:46.741"</f>
        <v>20:16:46.741</v>
      </c>
      <c r="U180" t="str">
        <f t="shared" si="21"/>
        <v>AA0632</v>
      </c>
      <c r="V180">
        <v>0</v>
      </c>
      <c r="W180">
        <v>0</v>
      </c>
      <c r="X180">
        <v>2</v>
      </c>
      <c r="Y180">
        <v>0</v>
      </c>
      <c r="AA180">
        <v>0</v>
      </c>
      <c r="AB180">
        <v>8</v>
      </c>
      <c r="AC180">
        <v>3</v>
      </c>
      <c r="AD180">
        <v>0</v>
      </c>
      <c r="AE180">
        <v>9</v>
      </c>
      <c r="AF180" t="s">
        <v>126</v>
      </c>
      <c r="AG180">
        <v>0</v>
      </c>
      <c r="AH180">
        <v>0</v>
      </c>
      <c r="AI180">
        <v>2</v>
      </c>
      <c r="AJ180">
        <v>0</v>
      </c>
      <c r="AK180" t="s">
        <v>204</v>
      </c>
      <c r="AL180">
        <v>31.961932000000001</v>
      </c>
      <c r="AM180" t="s">
        <v>228</v>
      </c>
      <c r="AN180">
        <v>-101.147153</v>
      </c>
      <c r="AQ180" t="s">
        <v>129</v>
      </c>
      <c r="AR180">
        <v>-91</v>
      </c>
      <c r="AS180">
        <v>6</v>
      </c>
      <c r="AT180">
        <v>-256</v>
      </c>
      <c r="BB180" t="str">
        <f t="shared" si="22"/>
        <v>1200</v>
      </c>
      <c r="BC180">
        <v>1</v>
      </c>
      <c r="BD180" t="str">
        <f t="shared" si="25"/>
        <v xml:space="preserve">N745MB  </v>
      </c>
      <c r="BE180">
        <v>1</v>
      </c>
      <c r="BG180">
        <v>0</v>
      </c>
      <c r="BH180">
        <v>0</v>
      </c>
      <c r="BI180">
        <v>0</v>
      </c>
      <c r="BL180" t="s">
        <v>130</v>
      </c>
      <c r="BM180">
        <v>1</v>
      </c>
      <c r="BN180">
        <v>0</v>
      </c>
      <c r="BO180">
        <v>0</v>
      </c>
      <c r="BP180">
        <v>0</v>
      </c>
      <c r="BT180">
        <v>0</v>
      </c>
      <c r="BU180">
        <v>0</v>
      </c>
      <c r="CE180" t="str">
        <f>"20:16:48.144"</f>
        <v>20:16:48.144</v>
      </c>
      <c r="CF180">
        <v>143746647</v>
      </c>
      <c r="CS180">
        <v>0</v>
      </c>
      <c r="CT180">
        <v>1</v>
      </c>
      <c r="CU180">
        <v>0</v>
      </c>
      <c r="CV180">
        <v>2</v>
      </c>
      <c r="CW180">
        <v>0</v>
      </c>
      <c r="CX180">
        <v>2</v>
      </c>
      <c r="CY180">
        <v>7</v>
      </c>
      <c r="CZ180" t="s">
        <v>131</v>
      </c>
      <c r="DA180">
        <v>116</v>
      </c>
      <c r="DB180">
        <v>3</v>
      </c>
      <c r="DC180" t="s">
        <v>132</v>
      </c>
      <c r="DD180" t="s">
        <v>133</v>
      </c>
      <c r="DG180">
        <v>8109906</v>
      </c>
      <c r="DI180">
        <v>0</v>
      </c>
      <c r="DJ180">
        <v>0</v>
      </c>
      <c r="DK180">
        <v>1</v>
      </c>
      <c r="DL180">
        <v>0</v>
      </c>
      <c r="DM180">
        <v>0</v>
      </c>
      <c r="DN180">
        <v>0</v>
      </c>
      <c r="DO180">
        <v>0</v>
      </c>
      <c r="DP180">
        <v>1</v>
      </c>
      <c r="DQ180">
        <v>0</v>
      </c>
      <c r="DR180">
        <v>0</v>
      </c>
      <c r="DS180">
        <v>0</v>
      </c>
    </row>
    <row r="181" spans="1:123" x14ac:dyDescent="0.25">
      <c r="A181" t="str">
        <f>"11/29/2023 20:16:49.663"</f>
        <v>11/29/2023 20:16:49.663</v>
      </c>
      <c r="C181" t="str">
        <f t="shared" si="28"/>
        <v>FFDF53C0</v>
      </c>
      <c r="D181" t="s">
        <v>123</v>
      </c>
      <c r="E181">
        <v>14</v>
      </c>
      <c r="F181">
        <v>1014</v>
      </c>
      <c r="G181" t="s">
        <v>124</v>
      </c>
      <c r="J181" t="s">
        <v>125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"20:16:49.211"</f>
        <v>20:16:49.211</v>
      </c>
      <c r="T181" t="str">
        <f>"20:16:49.111"</f>
        <v>20:16:49.111</v>
      </c>
      <c r="U181" t="str">
        <f t="shared" si="21"/>
        <v>AA0632</v>
      </c>
      <c r="V181">
        <v>0</v>
      </c>
      <c r="W181">
        <v>0</v>
      </c>
      <c r="X181">
        <v>2</v>
      </c>
      <c r="Y181">
        <v>0</v>
      </c>
      <c r="AA181">
        <v>0</v>
      </c>
      <c r="AB181">
        <v>8</v>
      </c>
      <c r="AC181">
        <v>3</v>
      </c>
      <c r="AD181">
        <v>0</v>
      </c>
      <c r="AE181">
        <v>9</v>
      </c>
      <c r="AF181" t="s">
        <v>126</v>
      </c>
      <c r="AG181">
        <v>0</v>
      </c>
      <c r="AH181">
        <v>0</v>
      </c>
      <c r="AI181">
        <v>2</v>
      </c>
      <c r="AJ181">
        <v>0</v>
      </c>
      <c r="AK181" t="s">
        <v>229</v>
      </c>
      <c r="AL181">
        <v>31.961974999999999</v>
      </c>
      <c r="AM181" t="s">
        <v>230</v>
      </c>
      <c r="AN181">
        <v>-101.14764700000001</v>
      </c>
      <c r="AQ181" t="s">
        <v>129</v>
      </c>
      <c r="AR181">
        <v>-92</v>
      </c>
      <c r="AS181">
        <v>7</v>
      </c>
      <c r="AT181">
        <v>-256</v>
      </c>
      <c r="BB181" t="str">
        <f t="shared" si="22"/>
        <v>1200</v>
      </c>
      <c r="BC181">
        <v>1</v>
      </c>
      <c r="BD181" t="str">
        <f t="shared" si="25"/>
        <v xml:space="preserve">N745MB  </v>
      </c>
      <c r="BE181">
        <v>1</v>
      </c>
      <c r="BG181">
        <v>0</v>
      </c>
      <c r="BH181">
        <v>0</v>
      </c>
      <c r="BI181">
        <v>0</v>
      </c>
      <c r="BL181" t="s">
        <v>130</v>
      </c>
      <c r="BM181">
        <v>1</v>
      </c>
      <c r="BN181">
        <v>0</v>
      </c>
      <c r="BO181">
        <v>0</v>
      </c>
      <c r="BP181">
        <v>0</v>
      </c>
      <c r="BT181">
        <v>0</v>
      </c>
      <c r="BU181">
        <v>0</v>
      </c>
      <c r="CE181" t="str">
        <f>"20:16:49.214"</f>
        <v>20:16:49.214</v>
      </c>
      <c r="CF181">
        <v>213679902</v>
      </c>
      <c r="CS181">
        <v>0</v>
      </c>
      <c r="CT181">
        <v>1</v>
      </c>
      <c r="CU181">
        <v>0</v>
      </c>
      <c r="CV181">
        <v>2</v>
      </c>
      <c r="CW181">
        <v>0</v>
      </c>
      <c r="CX181">
        <v>2</v>
      </c>
      <c r="CY181">
        <v>7</v>
      </c>
      <c r="CZ181" t="s">
        <v>131</v>
      </c>
      <c r="DA181">
        <v>116</v>
      </c>
      <c r="DB181">
        <v>3</v>
      </c>
      <c r="DC181" t="s">
        <v>132</v>
      </c>
      <c r="DD181" t="s">
        <v>133</v>
      </c>
      <c r="DG181">
        <v>8110568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1</v>
      </c>
      <c r="DQ181">
        <v>0</v>
      </c>
      <c r="DR181">
        <v>0</v>
      </c>
      <c r="DS181">
        <v>0</v>
      </c>
    </row>
    <row r="182" spans="1:123" x14ac:dyDescent="0.25">
      <c r="A182" t="str">
        <f>"11/29/2023 20:16:49.663"</f>
        <v>11/29/2023 20:16:49.663</v>
      </c>
      <c r="C182" t="str">
        <f t="shared" si="28"/>
        <v>FFDF53C0</v>
      </c>
      <c r="D182" t="s">
        <v>123</v>
      </c>
      <c r="E182">
        <v>1</v>
      </c>
      <c r="F182">
        <v>1001</v>
      </c>
      <c r="G182" t="s">
        <v>134</v>
      </c>
      <c r="J182" t="s">
        <v>125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"20:16:49.211"</f>
        <v>20:16:49.211</v>
      </c>
      <c r="T182" t="str">
        <f>"20:16:49.111"</f>
        <v>20:16:49.111</v>
      </c>
      <c r="U182" t="str">
        <f t="shared" si="21"/>
        <v>AA0632</v>
      </c>
      <c r="V182">
        <v>0</v>
      </c>
      <c r="W182">
        <v>0</v>
      </c>
      <c r="X182">
        <v>2</v>
      </c>
      <c r="Y182">
        <v>0</v>
      </c>
      <c r="AA182">
        <v>0</v>
      </c>
      <c r="AB182">
        <v>8</v>
      </c>
      <c r="AC182">
        <v>3</v>
      </c>
      <c r="AD182">
        <v>0</v>
      </c>
      <c r="AE182">
        <v>9</v>
      </c>
      <c r="AF182" t="s">
        <v>126</v>
      </c>
      <c r="AG182">
        <v>0</v>
      </c>
      <c r="AH182">
        <v>0</v>
      </c>
      <c r="AI182">
        <v>2</v>
      </c>
      <c r="AJ182">
        <v>0</v>
      </c>
      <c r="AK182" t="s">
        <v>229</v>
      </c>
      <c r="AL182">
        <v>31.961974999999999</v>
      </c>
      <c r="AM182" t="s">
        <v>230</v>
      </c>
      <c r="AN182">
        <v>-101.14764700000001</v>
      </c>
      <c r="AQ182" t="s">
        <v>129</v>
      </c>
      <c r="AR182">
        <v>-92</v>
      </c>
      <c r="AS182">
        <v>7</v>
      </c>
      <c r="AT182">
        <v>-256</v>
      </c>
      <c r="BB182" t="str">
        <f t="shared" si="22"/>
        <v>1200</v>
      </c>
      <c r="BC182">
        <v>1</v>
      </c>
      <c r="BD182" t="str">
        <f t="shared" si="25"/>
        <v xml:space="preserve">N745MB  </v>
      </c>
      <c r="BE182">
        <v>1</v>
      </c>
      <c r="BG182">
        <v>0</v>
      </c>
      <c r="BH182">
        <v>0</v>
      </c>
      <c r="BI182">
        <v>0</v>
      </c>
      <c r="BL182" t="s">
        <v>130</v>
      </c>
      <c r="BM182">
        <v>1</v>
      </c>
      <c r="BN182">
        <v>0</v>
      </c>
      <c r="BO182">
        <v>0</v>
      </c>
      <c r="BP182">
        <v>0</v>
      </c>
      <c r="BT182">
        <v>0</v>
      </c>
      <c r="BU182">
        <v>0</v>
      </c>
      <c r="CE182" t="str">
        <f>"20:16:49.214"</f>
        <v>20:16:49.214</v>
      </c>
      <c r="CF182">
        <v>213679902</v>
      </c>
      <c r="CS182">
        <v>0</v>
      </c>
      <c r="CT182">
        <v>1</v>
      </c>
      <c r="CU182">
        <v>0</v>
      </c>
      <c r="CV182">
        <v>2</v>
      </c>
      <c r="CW182">
        <v>0</v>
      </c>
      <c r="CX182">
        <v>2</v>
      </c>
      <c r="CY182">
        <v>7</v>
      </c>
      <c r="CZ182" t="s">
        <v>131</v>
      </c>
      <c r="DA182">
        <v>116</v>
      </c>
      <c r="DB182">
        <v>3</v>
      </c>
      <c r="DC182" t="s">
        <v>132</v>
      </c>
      <c r="DD182" t="s">
        <v>133</v>
      </c>
      <c r="DG182">
        <v>8110568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1</v>
      </c>
      <c r="DQ182">
        <v>0</v>
      </c>
      <c r="DR182">
        <v>0</v>
      </c>
      <c r="DS182">
        <v>0</v>
      </c>
    </row>
    <row r="183" spans="1:123" x14ac:dyDescent="0.25">
      <c r="A183" t="str">
        <f>"11/29/2023 20:16:49.663"</f>
        <v>11/29/2023 20:16:49.663</v>
      </c>
      <c r="C183" t="str">
        <f t="shared" si="28"/>
        <v>FFDF53C0</v>
      </c>
      <c r="D183" t="s">
        <v>138</v>
      </c>
      <c r="E183">
        <v>3</v>
      </c>
      <c r="H183">
        <v>160</v>
      </c>
      <c r="I183" t="s">
        <v>124</v>
      </c>
      <c r="J183" t="s">
        <v>139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"20:16:49.211"</f>
        <v>20:16:49.211</v>
      </c>
      <c r="T183" t="str">
        <f>"20:16:49.111"</f>
        <v>20:16:49.111</v>
      </c>
      <c r="U183" t="str">
        <f t="shared" si="21"/>
        <v>AA0632</v>
      </c>
      <c r="V183">
        <v>0</v>
      </c>
      <c r="W183">
        <v>0</v>
      </c>
      <c r="X183">
        <v>2</v>
      </c>
      <c r="Y183">
        <v>0</v>
      </c>
      <c r="AA183">
        <v>0</v>
      </c>
      <c r="AB183">
        <v>8</v>
      </c>
      <c r="AC183">
        <v>3</v>
      </c>
      <c r="AD183">
        <v>0</v>
      </c>
      <c r="AE183">
        <v>9</v>
      </c>
      <c r="AF183" t="s">
        <v>126</v>
      </c>
      <c r="AG183">
        <v>0</v>
      </c>
      <c r="AH183">
        <v>0</v>
      </c>
      <c r="AI183">
        <v>2</v>
      </c>
      <c r="AJ183">
        <v>0</v>
      </c>
      <c r="AK183" t="s">
        <v>229</v>
      </c>
      <c r="AL183">
        <v>31.961974999999999</v>
      </c>
      <c r="AM183" t="s">
        <v>230</v>
      </c>
      <c r="AN183">
        <v>-101.14764700000001</v>
      </c>
      <c r="AQ183" t="s">
        <v>129</v>
      </c>
      <c r="AR183">
        <v>-92</v>
      </c>
      <c r="AS183">
        <v>7</v>
      </c>
      <c r="AT183">
        <v>-256</v>
      </c>
      <c r="BB183" t="str">
        <f t="shared" si="22"/>
        <v>1200</v>
      </c>
      <c r="BC183">
        <v>1</v>
      </c>
      <c r="BD183" t="str">
        <f t="shared" si="25"/>
        <v xml:space="preserve">N745MB  </v>
      </c>
      <c r="BE183">
        <v>1</v>
      </c>
      <c r="BG183">
        <v>0</v>
      </c>
      <c r="BH183">
        <v>0</v>
      </c>
      <c r="BI183">
        <v>0</v>
      </c>
      <c r="BL183" t="s">
        <v>130</v>
      </c>
      <c r="BM183">
        <v>1</v>
      </c>
      <c r="BN183">
        <v>0</v>
      </c>
      <c r="BO183">
        <v>0</v>
      </c>
      <c r="BP183">
        <v>0</v>
      </c>
      <c r="BT183">
        <v>0</v>
      </c>
      <c r="BU183">
        <v>0</v>
      </c>
      <c r="CE183" t="str">
        <f>"20:16:49.214"</f>
        <v>20:16:49.214</v>
      </c>
      <c r="CF183">
        <v>213679902</v>
      </c>
      <c r="CS183">
        <v>0</v>
      </c>
      <c r="CT183">
        <v>1</v>
      </c>
      <c r="CU183">
        <v>0</v>
      </c>
      <c r="CV183">
        <v>2</v>
      </c>
      <c r="CW183">
        <v>0</v>
      </c>
      <c r="CX183">
        <v>2</v>
      </c>
      <c r="CY183">
        <v>7</v>
      </c>
      <c r="CZ183" t="s">
        <v>131</v>
      </c>
      <c r="DA183">
        <v>116</v>
      </c>
      <c r="DB183">
        <v>3</v>
      </c>
      <c r="DC183" t="s">
        <v>132</v>
      </c>
      <c r="DD183" t="s">
        <v>133</v>
      </c>
      <c r="DG183">
        <v>8110568</v>
      </c>
      <c r="DI183">
        <v>0</v>
      </c>
      <c r="DJ183">
        <v>0</v>
      </c>
      <c r="DK183">
        <v>1</v>
      </c>
      <c r="DL183">
        <v>0</v>
      </c>
      <c r="DM183">
        <v>0</v>
      </c>
      <c r="DN183">
        <v>0</v>
      </c>
      <c r="DO183">
        <v>0</v>
      </c>
      <c r="DP183">
        <v>1</v>
      </c>
      <c r="DQ183">
        <v>0</v>
      </c>
      <c r="DR183">
        <v>0</v>
      </c>
      <c r="DS183">
        <v>0</v>
      </c>
    </row>
    <row r="184" spans="1:123" x14ac:dyDescent="0.25">
      <c r="A184" t="str">
        <f>"11/29/2023 20:16:49.663"</f>
        <v>11/29/2023 20:16:49.663</v>
      </c>
      <c r="C184" t="str">
        <f t="shared" si="28"/>
        <v>FFDF53C0</v>
      </c>
      <c r="D184" t="s">
        <v>135</v>
      </c>
      <c r="E184">
        <v>31</v>
      </c>
      <c r="H184">
        <v>285</v>
      </c>
      <c r="I184" t="s">
        <v>136</v>
      </c>
      <c r="J184" t="s">
        <v>137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"20:16:49.211"</f>
        <v>20:16:49.211</v>
      </c>
      <c r="T184" t="str">
        <f>"20:16:49.111"</f>
        <v>20:16:49.111</v>
      </c>
      <c r="U184" t="str">
        <f t="shared" si="21"/>
        <v>AA0632</v>
      </c>
      <c r="V184">
        <v>0</v>
      </c>
      <c r="W184">
        <v>0</v>
      </c>
      <c r="X184">
        <v>2</v>
      </c>
      <c r="Y184">
        <v>0</v>
      </c>
      <c r="AA184">
        <v>0</v>
      </c>
      <c r="AB184">
        <v>8</v>
      </c>
      <c r="AC184">
        <v>3</v>
      </c>
      <c r="AD184">
        <v>0</v>
      </c>
      <c r="AE184">
        <v>9</v>
      </c>
      <c r="AF184" t="s">
        <v>126</v>
      </c>
      <c r="AG184">
        <v>0</v>
      </c>
      <c r="AH184">
        <v>0</v>
      </c>
      <c r="AI184">
        <v>2</v>
      </c>
      <c r="AJ184">
        <v>0</v>
      </c>
      <c r="AK184" t="s">
        <v>229</v>
      </c>
      <c r="AL184">
        <v>31.961974999999999</v>
      </c>
      <c r="AM184" t="s">
        <v>230</v>
      </c>
      <c r="AN184">
        <v>-101.14764700000001</v>
      </c>
      <c r="AQ184" t="s">
        <v>129</v>
      </c>
      <c r="AR184">
        <v>-92</v>
      </c>
      <c r="AS184">
        <v>7</v>
      </c>
      <c r="AT184">
        <v>-256</v>
      </c>
      <c r="BB184" t="str">
        <f t="shared" si="22"/>
        <v>1200</v>
      </c>
      <c r="BC184">
        <v>1</v>
      </c>
      <c r="BD184" t="str">
        <f t="shared" si="25"/>
        <v xml:space="preserve">N745MB  </v>
      </c>
      <c r="BE184">
        <v>1</v>
      </c>
      <c r="BG184">
        <v>0</v>
      </c>
      <c r="BH184">
        <v>0</v>
      </c>
      <c r="BI184">
        <v>0</v>
      </c>
      <c r="BL184" t="s">
        <v>130</v>
      </c>
      <c r="BM184">
        <v>1</v>
      </c>
      <c r="BN184">
        <v>0</v>
      </c>
      <c r="BO184">
        <v>0</v>
      </c>
      <c r="BP184">
        <v>0</v>
      </c>
      <c r="BT184">
        <v>0</v>
      </c>
      <c r="BU184">
        <v>0</v>
      </c>
      <c r="CE184" t="str">
        <f>"20:16:49.214"</f>
        <v>20:16:49.214</v>
      </c>
      <c r="CF184">
        <v>213679902</v>
      </c>
      <c r="CS184">
        <v>0</v>
      </c>
      <c r="CT184">
        <v>1</v>
      </c>
      <c r="CU184">
        <v>0</v>
      </c>
      <c r="CV184">
        <v>2</v>
      </c>
      <c r="CW184">
        <v>0</v>
      </c>
      <c r="CX184">
        <v>2</v>
      </c>
      <c r="CY184">
        <v>7</v>
      </c>
      <c r="CZ184" t="s">
        <v>131</v>
      </c>
      <c r="DA184">
        <v>116</v>
      </c>
      <c r="DB184">
        <v>3</v>
      </c>
      <c r="DC184" t="s">
        <v>132</v>
      </c>
      <c r="DD184" t="s">
        <v>133</v>
      </c>
      <c r="DG184">
        <v>8110568</v>
      </c>
      <c r="DI184">
        <v>0</v>
      </c>
      <c r="DJ184">
        <v>0</v>
      </c>
      <c r="DK184">
        <v>1</v>
      </c>
      <c r="DL184">
        <v>0</v>
      </c>
      <c r="DM184">
        <v>0</v>
      </c>
      <c r="DN184">
        <v>0</v>
      </c>
      <c r="DO184">
        <v>0</v>
      </c>
      <c r="DP184">
        <v>1</v>
      </c>
      <c r="DQ184">
        <v>0</v>
      </c>
      <c r="DR184">
        <v>0</v>
      </c>
      <c r="DS184">
        <v>0</v>
      </c>
    </row>
    <row r="185" spans="1:123" x14ac:dyDescent="0.25">
      <c r="A185" t="str">
        <f>"11/29/2023 20:16:53.351"</f>
        <v>11/29/2023 20:16:53.351</v>
      </c>
      <c r="C185" t="str">
        <f t="shared" si="28"/>
        <v>FFDF53C0</v>
      </c>
      <c r="D185" t="s">
        <v>123</v>
      </c>
      <c r="E185">
        <v>1</v>
      </c>
      <c r="F185">
        <v>1001</v>
      </c>
      <c r="G185" t="s">
        <v>134</v>
      </c>
      <c r="J185" t="s">
        <v>125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"20:16:53.008"</f>
        <v>20:16:53.008</v>
      </c>
      <c r="T185" t="str">
        <f>"20:16:50.208"</f>
        <v>20:16:50.208</v>
      </c>
      <c r="U185" t="str">
        <f t="shared" si="21"/>
        <v>AA0632</v>
      </c>
      <c r="V185">
        <v>0</v>
      </c>
      <c r="W185">
        <v>0</v>
      </c>
      <c r="X185">
        <v>2</v>
      </c>
      <c r="Y185">
        <v>0</v>
      </c>
      <c r="AA185">
        <v>0</v>
      </c>
      <c r="AB185">
        <v>8</v>
      </c>
      <c r="AC185">
        <v>3</v>
      </c>
      <c r="AD185">
        <v>0</v>
      </c>
      <c r="AE185">
        <v>9</v>
      </c>
      <c r="AF185" t="s">
        <v>126</v>
      </c>
      <c r="AG185">
        <v>0</v>
      </c>
      <c r="AH185">
        <v>0</v>
      </c>
      <c r="AI185">
        <v>2</v>
      </c>
      <c r="AJ185">
        <v>0</v>
      </c>
      <c r="AK185" t="s">
        <v>231</v>
      </c>
      <c r="AL185">
        <v>31.962060999999999</v>
      </c>
      <c r="AM185" t="s">
        <v>232</v>
      </c>
      <c r="AN185">
        <v>-101.14960000000001</v>
      </c>
      <c r="AQ185" t="s">
        <v>129</v>
      </c>
      <c r="AR185">
        <v>-92</v>
      </c>
      <c r="AS185">
        <v>7</v>
      </c>
      <c r="AT185">
        <v>-192</v>
      </c>
      <c r="BB185" t="str">
        <f t="shared" si="22"/>
        <v>1200</v>
      </c>
      <c r="BC185">
        <v>1</v>
      </c>
      <c r="BD185" t="str">
        <f t="shared" si="25"/>
        <v xml:space="preserve">N745MB  </v>
      </c>
      <c r="BE185">
        <v>1</v>
      </c>
      <c r="BG185">
        <v>0</v>
      </c>
      <c r="BH185">
        <v>0</v>
      </c>
      <c r="BI185">
        <v>0</v>
      </c>
      <c r="BL185" t="s">
        <v>130</v>
      </c>
      <c r="BM185">
        <v>1</v>
      </c>
      <c r="BN185">
        <v>0</v>
      </c>
      <c r="BO185">
        <v>0</v>
      </c>
      <c r="BP185">
        <v>0</v>
      </c>
      <c r="BT185">
        <v>0</v>
      </c>
      <c r="BU185">
        <v>0</v>
      </c>
      <c r="CE185" t="str">
        <f>"20:16:53.013"</f>
        <v>20:16:53.013</v>
      </c>
      <c r="CF185">
        <v>13454135</v>
      </c>
      <c r="CS185">
        <v>0</v>
      </c>
      <c r="CT185">
        <v>1</v>
      </c>
      <c r="CU185">
        <v>0</v>
      </c>
      <c r="CV185">
        <v>2</v>
      </c>
      <c r="CW185">
        <v>0</v>
      </c>
      <c r="CX185">
        <v>1</v>
      </c>
      <c r="CY185">
        <v>7</v>
      </c>
      <c r="CZ185" t="s">
        <v>131</v>
      </c>
      <c r="DA185">
        <v>116</v>
      </c>
      <c r="DB185">
        <v>3</v>
      </c>
      <c r="DC185" t="s">
        <v>132</v>
      </c>
      <c r="DD185" t="s">
        <v>133</v>
      </c>
      <c r="DG185">
        <v>8112861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1</v>
      </c>
      <c r="DQ185">
        <v>0</v>
      </c>
      <c r="DR185">
        <v>0</v>
      </c>
      <c r="DS185">
        <v>0</v>
      </c>
    </row>
    <row r="186" spans="1:123" x14ac:dyDescent="0.25">
      <c r="A186" t="str">
        <f>"11/29/2023 20:16:53.351"</f>
        <v>11/29/2023 20:16:53.351</v>
      </c>
      <c r="C186" t="str">
        <f t="shared" si="28"/>
        <v>FFDF53C0</v>
      </c>
      <c r="D186" t="s">
        <v>138</v>
      </c>
      <c r="E186">
        <v>3</v>
      </c>
      <c r="H186">
        <v>160</v>
      </c>
      <c r="I186" t="s">
        <v>124</v>
      </c>
      <c r="J186" t="s">
        <v>139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"20:16:53.008"</f>
        <v>20:16:53.008</v>
      </c>
      <c r="T186" t="str">
        <f>"20:16:50.208"</f>
        <v>20:16:50.208</v>
      </c>
      <c r="U186" t="str">
        <f t="shared" si="21"/>
        <v>AA0632</v>
      </c>
      <c r="V186">
        <v>0</v>
      </c>
      <c r="W186">
        <v>0</v>
      </c>
      <c r="X186">
        <v>2</v>
      </c>
      <c r="Y186">
        <v>0</v>
      </c>
      <c r="AA186">
        <v>0</v>
      </c>
      <c r="AB186">
        <v>8</v>
      </c>
      <c r="AC186">
        <v>3</v>
      </c>
      <c r="AD186">
        <v>0</v>
      </c>
      <c r="AE186">
        <v>9</v>
      </c>
      <c r="AF186" t="s">
        <v>126</v>
      </c>
      <c r="AG186">
        <v>0</v>
      </c>
      <c r="AH186">
        <v>0</v>
      </c>
      <c r="AI186">
        <v>2</v>
      </c>
      <c r="AJ186">
        <v>0</v>
      </c>
      <c r="AK186" t="s">
        <v>231</v>
      </c>
      <c r="AL186">
        <v>31.962060999999999</v>
      </c>
      <c r="AM186" t="s">
        <v>232</v>
      </c>
      <c r="AN186">
        <v>-101.14960000000001</v>
      </c>
      <c r="AQ186" t="s">
        <v>129</v>
      </c>
      <c r="AR186">
        <v>-92</v>
      </c>
      <c r="AS186">
        <v>7</v>
      </c>
      <c r="AT186">
        <v>-192</v>
      </c>
      <c r="BB186" t="str">
        <f t="shared" si="22"/>
        <v>1200</v>
      </c>
      <c r="BC186">
        <v>1</v>
      </c>
      <c r="BD186" t="str">
        <f t="shared" si="25"/>
        <v xml:space="preserve">N745MB  </v>
      </c>
      <c r="BE186">
        <v>1</v>
      </c>
      <c r="BG186">
        <v>0</v>
      </c>
      <c r="BH186">
        <v>0</v>
      </c>
      <c r="BI186">
        <v>0</v>
      </c>
      <c r="BL186" t="s">
        <v>130</v>
      </c>
      <c r="BM186">
        <v>1</v>
      </c>
      <c r="BN186">
        <v>0</v>
      </c>
      <c r="BO186">
        <v>0</v>
      </c>
      <c r="BP186">
        <v>0</v>
      </c>
      <c r="BT186">
        <v>0</v>
      </c>
      <c r="BU186">
        <v>0</v>
      </c>
      <c r="CE186" t="str">
        <f>"20:16:53.013"</f>
        <v>20:16:53.013</v>
      </c>
      <c r="CF186">
        <v>13454135</v>
      </c>
      <c r="CS186">
        <v>0</v>
      </c>
      <c r="CT186">
        <v>1</v>
      </c>
      <c r="CU186">
        <v>0</v>
      </c>
      <c r="CV186">
        <v>2</v>
      </c>
      <c r="CW186">
        <v>0</v>
      </c>
      <c r="CX186">
        <v>1</v>
      </c>
      <c r="CY186">
        <v>7</v>
      </c>
      <c r="CZ186" t="s">
        <v>131</v>
      </c>
      <c r="DA186">
        <v>116</v>
      </c>
      <c r="DB186">
        <v>3</v>
      </c>
      <c r="DC186" t="s">
        <v>132</v>
      </c>
      <c r="DD186" t="s">
        <v>133</v>
      </c>
      <c r="DG186">
        <v>8112861</v>
      </c>
      <c r="DI186">
        <v>0</v>
      </c>
      <c r="DJ186">
        <v>0</v>
      </c>
      <c r="DK186">
        <v>1</v>
      </c>
      <c r="DL186">
        <v>0</v>
      </c>
      <c r="DM186">
        <v>0</v>
      </c>
      <c r="DN186">
        <v>0</v>
      </c>
      <c r="DO186">
        <v>0</v>
      </c>
      <c r="DP186">
        <v>1</v>
      </c>
      <c r="DQ186">
        <v>0</v>
      </c>
      <c r="DR186">
        <v>0</v>
      </c>
      <c r="DS186">
        <v>0</v>
      </c>
    </row>
    <row r="187" spans="1:123" x14ac:dyDescent="0.25">
      <c r="A187" t="str">
        <f>"11/29/2023 20:16:53.382"</f>
        <v>11/29/2023 20:16:53.382</v>
      </c>
      <c r="C187" t="str">
        <f t="shared" si="28"/>
        <v>FFDF53C0</v>
      </c>
      <c r="D187" t="s">
        <v>135</v>
      </c>
      <c r="E187">
        <v>31</v>
      </c>
      <c r="H187">
        <v>285</v>
      </c>
      <c r="I187" t="s">
        <v>136</v>
      </c>
      <c r="J187" t="s">
        <v>137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"20:16:53.008"</f>
        <v>20:16:53.008</v>
      </c>
      <c r="T187" t="str">
        <f>"20:16:50.208"</f>
        <v>20:16:50.208</v>
      </c>
      <c r="U187" t="str">
        <f t="shared" si="21"/>
        <v>AA0632</v>
      </c>
      <c r="V187">
        <v>0</v>
      </c>
      <c r="W187">
        <v>0</v>
      </c>
      <c r="X187">
        <v>2</v>
      </c>
      <c r="Y187">
        <v>0</v>
      </c>
      <c r="AA187">
        <v>0</v>
      </c>
      <c r="AB187">
        <v>8</v>
      </c>
      <c r="AC187">
        <v>3</v>
      </c>
      <c r="AD187">
        <v>0</v>
      </c>
      <c r="AE187">
        <v>9</v>
      </c>
      <c r="AF187" t="s">
        <v>126</v>
      </c>
      <c r="AG187">
        <v>0</v>
      </c>
      <c r="AH187">
        <v>0</v>
      </c>
      <c r="AI187">
        <v>2</v>
      </c>
      <c r="AJ187">
        <v>0</v>
      </c>
      <c r="AK187" t="s">
        <v>231</v>
      </c>
      <c r="AL187">
        <v>31.962060999999999</v>
      </c>
      <c r="AM187" t="s">
        <v>232</v>
      </c>
      <c r="AN187">
        <v>-101.14960000000001</v>
      </c>
      <c r="AQ187" t="s">
        <v>129</v>
      </c>
      <c r="AR187">
        <v>-92</v>
      </c>
      <c r="AS187">
        <v>7</v>
      </c>
      <c r="AT187">
        <v>-192</v>
      </c>
      <c r="BB187" t="str">
        <f t="shared" si="22"/>
        <v>1200</v>
      </c>
      <c r="BC187">
        <v>1</v>
      </c>
      <c r="BD187" t="str">
        <f t="shared" si="25"/>
        <v xml:space="preserve">N745MB  </v>
      </c>
      <c r="BE187">
        <v>1</v>
      </c>
      <c r="BG187">
        <v>0</v>
      </c>
      <c r="BH187">
        <v>0</v>
      </c>
      <c r="BI187">
        <v>0</v>
      </c>
      <c r="BL187" t="s">
        <v>130</v>
      </c>
      <c r="BM187">
        <v>1</v>
      </c>
      <c r="BN187">
        <v>0</v>
      </c>
      <c r="BO187">
        <v>0</v>
      </c>
      <c r="BP187">
        <v>0</v>
      </c>
      <c r="BT187">
        <v>0</v>
      </c>
      <c r="BU187">
        <v>0</v>
      </c>
      <c r="CE187" t="str">
        <f>"20:16:53.013"</f>
        <v>20:16:53.013</v>
      </c>
      <c r="CF187">
        <v>13454135</v>
      </c>
      <c r="CS187">
        <v>0</v>
      </c>
      <c r="CT187">
        <v>1</v>
      </c>
      <c r="CU187">
        <v>0</v>
      </c>
      <c r="CV187">
        <v>2</v>
      </c>
      <c r="CW187">
        <v>0</v>
      </c>
      <c r="CX187">
        <v>1</v>
      </c>
      <c r="CY187">
        <v>7</v>
      </c>
      <c r="CZ187" t="s">
        <v>131</v>
      </c>
      <c r="DA187">
        <v>116</v>
      </c>
      <c r="DB187">
        <v>3</v>
      </c>
      <c r="DC187" t="s">
        <v>132</v>
      </c>
      <c r="DD187" t="s">
        <v>133</v>
      </c>
      <c r="DG187">
        <v>8112861</v>
      </c>
      <c r="DI187">
        <v>0</v>
      </c>
      <c r="DJ187">
        <v>0</v>
      </c>
      <c r="DK187">
        <v>1</v>
      </c>
      <c r="DL187">
        <v>0</v>
      </c>
      <c r="DM187">
        <v>0</v>
      </c>
      <c r="DN187">
        <v>0</v>
      </c>
      <c r="DO187">
        <v>0</v>
      </c>
      <c r="DP187">
        <v>1</v>
      </c>
      <c r="DQ187">
        <v>0</v>
      </c>
      <c r="DR187">
        <v>0</v>
      </c>
      <c r="DS187">
        <v>0</v>
      </c>
    </row>
    <row r="188" spans="1:123" x14ac:dyDescent="0.25">
      <c r="A188" t="str">
        <f>"11/29/2023 20:16:53.382"</f>
        <v>11/29/2023 20:16:53.382</v>
      </c>
      <c r="C188" t="str">
        <f t="shared" si="28"/>
        <v>FFDF53C0</v>
      </c>
      <c r="D188" t="s">
        <v>123</v>
      </c>
      <c r="E188">
        <v>14</v>
      </c>
      <c r="F188">
        <v>1014</v>
      </c>
      <c r="G188" t="s">
        <v>124</v>
      </c>
      <c r="J188" t="s">
        <v>125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"20:16:53.008"</f>
        <v>20:16:53.008</v>
      </c>
      <c r="T188" t="str">
        <f>"20:16:50.208"</f>
        <v>20:16:50.208</v>
      </c>
      <c r="U188" t="str">
        <f t="shared" si="21"/>
        <v>AA0632</v>
      </c>
      <c r="V188">
        <v>0</v>
      </c>
      <c r="W188">
        <v>0</v>
      </c>
      <c r="X188">
        <v>2</v>
      </c>
      <c r="Y188">
        <v>0</v>
      </c>
      <c r="AA188">
        <v>0</v>
      </c>
      <c r="AB188">
        <v>8</v>
      </c>
      <c r="AC188">
        <v>3</v>
      </c>
      <c r="AD188">
        <v>0</v>
      </c>
      <c r="AE188">
        <v>9</v>
      </c>
      <c r="AF188" t="s">
        <v>126</v>
      </c>
      <c r="AG188">
        <v>0</v>
      </c>
      <c r="AH188">
        <v>0</v>
      </c>
      <c r="AI188">
        <v>2</v>
      </c>
      <c r="AJ188">
        <v>0</v>
      </c>
      <c r="AK188" t="s">
        <v>231</v>
      </c>
      <c r="AL188">
        <v>31.962060999999999</v>
      </c>
      <c r="AM188" t="s">
        <v>232</v>
      </c>
      <c r="AN188">
        <v>-101.14960000000001</v>
      </c>
      <c r="AQ188" t="s">
        <v>129</v>
      </c>
      <c r="AR188">
        <v>-92</v>
      </c>
      <c r="AS188">
        <v>7</v>
      </c>
      <c r="AT188">
        <v>-192</v>
      </c>
      <c r="BB188" t="str">
        <f t="shared" si="22"/>
        <v>1200</v>
      </c>
      <c r="BC188">
        <v>1</v>
      </c>
      <c r="BD188" t="str">
        <f t="shared" si="25"/>
        <v xml:space="preserve">N745MB  </v>
      </c>
      <c r="BE188">
        <v>1</v>
      </c>
      <c r="BG188">
        <v>0</v>
      </c>
      <c r="BH188">
        <v>0</v>
      </c>
      <c r="BI188">
        <v>0</v>
      </c>
      <c r="BL188" t="s">
        <v>130</v>
      </c>
      <c r="BM188">
        <v>1</v>
      </c>
      <c r="BN188">
        <v>0</v>
      </c>
      <c r="BO188">
        <v>0</v>
      </c>
      <c r="BP188">
        <v>0</v>
      </c>
      <c r="BT188">
        <v>0</v>
      </c>
      <c r="BU188">
        <v>0</v>
      </c>
      <c r="CE188" t="str">
        <f>"20:16:53.013"</f>
        <v>20:16:53.013</v>
      </c>
      <c r="CF188">
        <v>13454135</v>
      </c>
      <c r="CS188">
        <v>0</v>
      </c>
      <c r="CT188">
        <v>1</v>
      </c>
      <c r="CU188">
        <v>0</v>
      </c>
      <c r="CV188">
        <v>2</v>
      </c>
      <c r="CW188">
        <v>0</v>
      </c>
      <c r="CX188">
        <v>1</v>
      </c>
      <c r="CY188">
        <v>7</v>
      </c>
      <c r="CZ188" t="s">
        <v>131</v>
      </c>
      <c r="DA188">
        <v>116</v>
      </c>
      <c r="DB188">
        <v>3</v>
      </c>
      <c r="DC188" t="s">
        <v>132</v>
      </c>
      <c r="DD188" t="s">
        <v>133</v>
      </c>
      <c r="DG188">
        <v>8112861</v>
      </c>
      <c r="DI188">
        <v>0</v>
      </c>
      <c r="DJ188">
        <v>0</v>
      </c>
      <c r="DK188">
        <v>1</v>
      </c>
      <c r="DL188">
        <v>0</v>
      </c>
      <c r="DM188">
        <v>0</v>
      </c>
      <c r="DN188">
        <v>0</v>
      </c>
      <c r="DO188">
        <v>0</v>
      </c>
      <c r="DP188">
        <v>1</v>
      </c>
      <c r="DQ188">
        <v>0</v>
      </c>
      <c r="DR188">
        <v>0</v>
      </c>
      <c r="DS188">
        <v>0</v>
      </c>
    </row>
    <row r="189" spans="1:123" x14ac:dyDescent="0.25">
      <c r="A189" t="str">
        <f>"11/29/2023 20:16:54.429"</f>
        <v>11/29/2023 20:16:54.429</v>
      </c>
      <c r="C189" t="str">
        <f t="shared" si="28"/>
        <v>FFDF53C0</v>
      </c>
      <c r="D189" t="s">
        <v>135</v>
      </c>
      <c r="E189">
        <v>31</v>
      </c>
      <c r="H189">
        <v>285</v>
      </c>
      <c r="I189" t="s">
        <v>136</v>
      </c>
      <c r="J189" t="s">
        <v>137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"20:16:54.086"</f>
        <v>20:16:54.086</v>
      </c>
      <c r="T189" t="str">
        <f>"20:16:53.986"</f>
        <v>20:16:53.986</v>
      </c>
      <c r="U189" t="str">
        <f t="shared" si="21"/>
        <v>AA0632</v>
      </c>
      <c r="V189">
        <v>0</v>
      </c>
      <c r="W189">
        <v>0</v>
      </c>
      <c r="X189">
        <v>2</v>
      </c>
      <c r="Y189">
        <v>0</v>
      </c>
      <c r="AA189">
        <v>0</v>
      </c>
      <c r="AB189">
        <v>8</v>
      </c>
      <c r="AC189">
        <v>3</v>
      </c>
      <c r="AD189">
        <v>0</v>
      </c>
      <c r="AE189">
        <v>9</v>
      </c>
      <c r="AF189" t="s">
        <v>126</v>
      </c>
      <c r="AG189">
        <v>0</v>
      </c>
      <c r="AH189">
        <v>0</v>
      </c>
      <c r="AI189">
        <v>2</v>
      </c>
      <c r="AJ189">
        <v>0</v>
      </c>
      <c r="AK189" t="s">
        <v>233</v>
      </c>
      <c r="AL189">
        <v>31.962104</v>
      </c>
      <c r="AM189" t="s">
        <v>234</v>
      </c>
      <c r="AN189">
        <v>-101.15007199999999</v>
      </c>
      <c r="AQ189" t="s">
        <v>129</v>
      </c>
      <c r="AR189">
        <v>-91</v>
      </c>
      <c r="AS189">
        <v>5</v>
      </c>
      <c r="AT189">
        <v>0</v>
      </c>
      <c r="BB189" t="str">
        <f t="shared" si="22"/>
        <v>1200</v>
      </c>
      <c r="BC189">
        <v>1</v>
      </c>
      <c r="BD189" t="str">
        <f t="shared" si="25"/>
        <v xml:space="preserve">N745MB  </v>
      </c>
      <c r="BE189">
        <v>1</v>
      </c>
      <c r="BG189">
        <v>0</v>
      </c>
      <c r="BH189">
        <v>0</v>
      </c>
      <c r="BI189">
        <v>0</v>
      </c>
      <c r="BL189" t="s">
        <v>130</v>
      </c>
      <c r="BM189">
        <v>1</v>
      </c>
      <c r="BN189">
        <v>0</v>
      </c>
      <c r="BO189">
        <v>0</v>
      </c>
      <c r="BP189">
        <v>0</v>
      </c>
      <c r="BT189">
        <v>0</v>
      </c>
      <c r="BU189">
        <v>0</v>
      </c>
      <c r="CE189" t="str">
        <f>"20:16:54.087"</f>
        <v>20:16:54.087</v>
      </c>
      <c r="CF189">
        <v>87340008</v>
      </c>
      <c r="CS189">
        <v>0</v>
      </c>
      <c r="CT189">
        <v>1</v>
      </c>
      <c r="CU189">
        <v>0</v>
      </c>
      <c r="CV189">
        <v>2</v>
      </c>
      <c r="CW189">
        <v>0</v>
      </c>
      <c r="CX189">
        <v>1</v>
      </c>
      <c r="CY189">
        <v>7</v>
      </c>
      <c r="CZ189" t="s">
        <v>131</v>
      </c>
      <c r="DA189">
        <v>116</v>
      </c>
      <c r="DB189">
        <v>3</v>
      </c>
      <c r="DC189" t="s">
        <v>132</v>
      </c>
      <c r="DD189" t="s">
        <v>133</v>
      </c>
      <c r="DG189">
        <v>8113417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1</v>
      </c>
      <c r="DQ189">
        <v>0</v>
      </c>
      <c r="DR189">
        <v>0</v>
      </c>
      <c r="DS189">
        <v>0</v>
      </c>
    </row>
    <row r="190" spans="1:123" x14ac:dyDescent="0.25">
      <c r="A190" t="str">
        <f>"11/29/2023 20:16:54.460"</f>
        <v>11/29/2023 20:16:54.460</v>
      </c>
      <c r="C190" t="str">
        <f t="shared" si="28"/>
        <v>FFDF53C0</v>
      </c>
      <c r="D190" t="s">
        <v>123</v>
      </c>
      <c r="E190">
        <v>14</v>
      </c>
      <c r="F190">
        <v>1014</v>
      </c>
      <c r="G190" t="s">
        <v>124</v>
      </c>
      <c r="J190" t="s">
        <v>125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"20:16:54.086"</f>
        <v>20:16:54.086</v>
      </c>
      <c r="T190" t="str">
        <f>"20:16:53.986"</f>
        <v>20:16:53.986</v>
      </c>
      <c r="U190" t="str">
        <f t="shared" si="21"/>
        <v>AA0632</v>
      </c>
      <c r="V190">
        <v>0</v>
      </c>
      <c r="W190">
        <v>0</v>
      </c>
      <c r="X190">
        <v>2</v>
      </c>
      <c r="Y190">
        <v>0</v>
      </c>
      <c r="AA190">
        <v>0</v>
      </c>
      <c r="AB190">
        <v>8</v>
      </c>
      <c r="AC190">
        <v>3</v>
      </c>
      <c r="AD190">
        <v>0</v>
      </c>
      <c r="AE190">
        <v>9</v>
      </c>
      <c r="AF190" t="s">
        <v>126</v>
      </c>
      <c r="AG190">
        <v>0</v>
      </c>
      <c r="AH190">
        <v>0</v>
      </c>
      <c r="AI190">
        <v>2</v>
      </c>
      <c r="AJ190">
        <v>0</v>
      </c>
      <c r="AK190" t="s">
        <v>233</v>
      </c>
      <c r="AL190">
        <v>31.962104</v>
      </c>
      <c r="AM190" t="s">
        <v>234</v>
      </c>
      <c r="AN190">
        <v>-101.15007199999999</v>
      </c>
      <c r="AQ190" t="s">
        <v>129</v>
      </c>
      <c r="AR190">
        <v>-91</v>
      </c>
      <c r="AS190">
        <v>5</v>
      </c>
      <c r="AT190">
        <v>0</v>
      </c>
      <c r="BB190" t="str">
        <f t="shared" si="22"/>
        <v>1200</v>
      </c>
      <c r="BC190">
        <v>1</v>
      </c>
      <c r="BD190" t="str">
        <f t="shared" si="25"/>
        <v xml:space="preserve">N745MB  </v>
      </c>
      <c r="BE190">
        <v>1</v>
      </c>
      <c r="BG190">
        <v>0</v>
      </c>
      <c r="BH190">
        <v>0</v>
      </c>
      <c r="BI190">
        <v>0</v>
      </c>
      <c r="BL190" t="s">
        <v>130</v>
      </c>
      <c r="BM190">
        <v>1</v>
      </c>
      <c r="BN190">
        <v>0</v>
      </c>
      <c r="BO190">
        <v>0</v>
      </c>
      <c r="BP190">
        <v>0</v>
      </c>
      <c r="BT190">
        <v>0</v>
      </c>
      <c r="BU190">
        <v>0</v>
      </c>
      <c r="CE190" t="str">
        <f>"20:16:54.087"</f>
        <v>20:16:54.087</v>
      </c>
      <c r="CF190">
        <v>87340008</v>
      </c>
      <c r="CS190">
        <v>0</v>
      </c>
      <c r="CT190">
        <v>1</v>
      </c>
      <c r="CU190">
        <v>0</v>
      </c>
      <c r="CV190">
        <v>2</v>
      </c>
      <c r="CW190">
        <v>0</v>
      </c>
      <c r="CX190">
        <v>1</v>
      </c>
      <c r="CY190">
        <v>7</v>
      </c>
      <c r="CZ190" t="s">
        <v>131</v>
      </c>
      <c r="DA190">
        <v>116</v>
      </c>
      <c r="DB190">
        <v>3</v>
      </c>
      <c r="DC190" t="s">
        <v>132</v>
      </c>
      <c r="DD190" t="s">
        <v>133</v>
      </c>
      <c r="DG190">
        <v>8113417</v>
      </c>
      <c r="DI190">
        <v>0</v>
      </c>
      <c r="DJ190">
        <v>0</v>
      </c>
      <c r="DK190">
        <v>1</v>
      </c>
      <c r="DL190">
        <v>0</v>
      </c>
      <c r="DM190">
        <v>0</v>
      </c>
      <c r="DN190">
        <v>0</v>
      </c>
      <c r="DO190">
        <v>0</v>
      </c>
      <c r="DP190">
        <v>1</v>
      </c>
      <c r="DQ190">
        <v>0</v>
      </c>
      <c r="DR190">
        <v>0</v>
      </c>
      <c r="DS190">
        <v>0</v>
      </c>
    </row>
    <row r="191" spans="1:123" x14ac:dyDescent="0.25">
      <c r="A191" t="str">
        <f>"11/29/2023 20:16:54.460"</f>
        <v>11/29/2023 20:16:54.460</v>
      </c>
      <c r="C191" t="str">
        <f t="shared" si="28"/>
        <v>FFDF53C0</v>
      </c>
      <c r="D191" t="s">
        <v>123</v>
      </c>
      <c r="E191">
        <v>1</v>
      </c>
      <c r="F191">
        <v>1001</v>
      </c>
      <c r="G191" t="s">
        <v>134</v>
      </c>
      <c r="J191" t="s">
        <v>125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"20:16:54.086"</f>
        <v>20:16:54.086</v>
      </c>
      <c r="T191" t="str">
        <f>"20:16:53.986"</f>
        <v>20:16:53.986</v>
      </c>
      <c r="U191" t="str">
        <f t="shared" si="21"/>
        <v>AA0632</v>
      </c>
      <c r="V191">
        <v>0</v>
      </c>
      <c r="W191">
        <v>0</v>
      </c>
      <c r="X191">
        <v>2</v>
      </c>
      <c r="Y191">
        <v>0</v>
      </c>
      <c r="AA191">
        <v>0</v>
      </c>
      <c r="AB191">
        <v>8</v>
      </c>
      <c r="AC191">
        <v>3</v>
      </c>
      <c r="AD191">
        <v>0</v>
      </c>
      <c r="AE191">
        <v>9</v>
      </c>
      <c r="AF191" t="s">
        <v>126</v>
      </c>
      <c r="AG191">
        <v>0</v>
      </c>
      <c r="AH191">
        <v>0</v>
      </c>
      <c r="AI191">
        <v>2</v>
      </c>
      <c r="AJ191">
        <v>0</v>
      </c>
      <c r="AK191" t="s">
        <v>233</v>
      </c>
      <c r="AL191">
        <v>31.962104</v>
      </c>
      <c r="AM191" t="s">
        <v>234</v>
      </c>
      <c r="AN191">
        <v>-101.15007199999999</v>
      </c>
      <c r="AQ191" t="s">
        <v>129</v>
      </c>
      <c r="AR191">
        <v>-91</v>
      </c>
      <c r="AS191">
        <v>5</v>
      </c>
      <c r="AT191">
        <v>0</v>
      </c>
      <c r="BB191" t="str">
        <f t="shared" si="22"/>
        <v>1200</v>
      </c>
      <c r="BC191">
        <v>1</v>
      </c>
      <c r="BD191" t="str">
        <f t="shared" si="25"/>
        <v xml:space="preserve">N745MB  </v>
      </c>
      <c r="BE191">
        <v>1</v>
      </c>
      <c r="BG191">
        <v>0</v>
      </c>
      <c r="BH191">
        <v>0</v>
      </c>
      <c r="BI191">
        <v>0</v>
      </c>
      <c r="BL191" t="s">
        <v>130</v>
      </c>
      <c r="BM191">
        <v>1</v>
      </c>
      <c r="BN191">
        <v>0</v>
      </c>
      <c r="BO191">
        <v>0</v>
      </c>
      <c r="BP191">
        <v>0</v>
      </c>
      <c r="BT191">
        <v>0</v>
      </c>
      <c r="BU191">
        <v>0</v>
      </c>
      <c r="CE191" t="str">
        <f>"20:16:54.087"</f>
        <v>20:16:54.087</v>
      </c>
      <c r="CF191">
        <v>87340008</v>
      </c>
      <c r="CS191">
        <v>0</v>
      </c>
      <c r="CT191">
        <v>1</v>
      </c>
      <c r="CU191">
        <v>0</v>
      </c>
      <c r="CV191">
        <v>2</v>
      </c>
      <c r="CW191">
        <v>0</v>
      </c>
      <c r="CX191">
        <v>1</v>
      </c>
      <c r="CY191">
        <v>7</v>
      </c>
      <c r="CZ191" t="s">
        <v>131</v>
      </c>
      <c r="DA191">
        <v>116</v>
      </c>
      <c r="DB191">
        <v>3</v>
      </c>
      <c r="DC191" t="s">
        <v>132</v>
      </c>
      <c r="DD191" t="s">
        <v>133</v>
      </c>
      <c r="DG191">
        <v>8113417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1</v>
      </c>
      <c r="DQ191">
        <v>0</v>
      </c>
      <c r="DR191">
        <v>0</v>
      </c>
      <c r="DS191">
        <v>0</v>
      </c>
    </row>
    <row r="192" spans="1:123" x14ac:dyDescent="0.25">
      <c r="A192" t="str">
        <f>"11/29/2023 20:16:54.476"</f>
        <v>11/29/2023 20:16:54.476</v>
      </c>
      <c r="C192" t="str">
        <f t="shared" si="28"/>
        <v>FFDF53C0</v>
      </c>
      <c r="D192" t="s">
        <v>138</v>
      </c>
      <c r="E192">
        <v>3</v>
      </c>
      <c r="H192">
        <v>160</v>
      </c>
      <c r="I192" t="s">
        <v>124</v>
      </c>
      <c r="J192" t="s">
        <v>139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"20:16:54.086"</f>
        <v>20:16:54.086</v>
      </c>
      <c r="T192" t="str">
        <f>"20:16:53.986"</f>
        <v>20:16:53.986</v>
      </c>
      <c r="U192" t="str">
        <f t="shared" si="21"/>
        <v>AA0632</v>
      </c>
      <c r="V192">
        <v>0</v>
      </c>
      <c r="W192">
        <v>0</v>
      </c>
      <c r="X192">
        <v>2</v>
      </c>
      <c r="Y192">
        <v>0</v>
      </c>
      <c r="AA192">
        <v>0</v>
      </c>
      <c r="AB192">
        <v>8</v>
      </c>
      <c r="AC192">
        <v>3</v>
      </c>
      <c r="AD192">
        <v>0</v>
      </c>
      <c r="AE192">
        <v>9</v>
      </c>
      <c r="AF192" t="s">
        <v>126</v>
      </c>
      <c r="AG192">
        <v>0</v>
      </c>
      <c r="AH192">
        <v>0</v>
      </c>
      <c r="AI192">
        <v>2</v>
      </c>
      <c r="AJ192">
        <v>0</v>
      </c>
      <c r="AK192" t="s">
        <v>233</v>
      </c>
      <c r="AL192">
        <v>31.962104</v>
      </c>
      <c r="AM192" t="s">
        <v>234</v>
      </c>
      <c r="AN192">
        <v>-101.15007199999999</v>
      </c>
      <c r="AQ192" t="s">
        <v>129</v>
      </c>
      <c r="AR192">
        <v>-91</v>
      </c>
      <c r="AS192">
        <v>5</v>
      </c>
      <c r="AT192">
        <v>0</v>
      </c>
      <c r="BB192" t="str">
        <f t="shared" si="22"/>
        <v>1200</v>
      </c>
      <c r="BC192">
        <v>1</v>
      </c>
      <c r="BD192" t="str">
        <f t="shared" si="25"/>
        <v xml:space="preserve">N745MB  </v>
      </c>
      <c r="BE192">
        <v>1</v>
      </c>
      <c r="BG192">
        <v>0</v>
      </c>
      <c r="BH192">
        <v>0</v>
      </c>
      <c r="BI192">
        <v>0</v>
      </c>
      <c r="BL192" t="s">
        <v>130</v>
      </c>
      <c r="BM192">
        <v>1</v>
      </c>
      <c r="BN192">
        <v>0</v>
      </c>
      <c r="BO192">
        <v>0</v>
      </c>
      <c r="BP192">
        <v>0</v>
      </c>
      <c r="BT192">
        <v>0</v>
      </c>
      <c r="BU192">
        <v>0</v>
      </c>
      <c r="CE192" t="str">
        <f>"20:16:54.087"</f>
        <v>20:16:54.087</v>
      </c>
      <c r="CF192">
        <v>87340008</v>
      </c>
      <c r="CS192">
        <v>0</v>
      </c>
      <c r="CT192">
        <v>1</v>
      </c>
      <c r="CU192">
        <v>0</v>
      </c>
      <c r="CV192">
        <v>2</v>
      </c>
      <c r="CW192">
        <v>0</v>
      </c>
      <c r="CX192">
        <v>1</v>
      </c>
      <c r="CY192">
        <v>7</v>
      </c>
      <c r="CZ192" t="s">
        <v>131</v>
      </c>
      <c r="DA192">
        <v>116</v>
      </c>
      <c r="DB192">
        <v>3</v>
      </c>
      <c r="DC192" t="s">
        <v>132</v>
      </c>
      <c r="DD192" t="s">
        <v>133</v>
      </c>
      <c r="DG192">
        <v>8113417</v>
      </c>
      <c r="DI192">
        <v>0</v>
      </c>
      <c r="DJ192">
        <v>0</v>
      </c>
      <c r="DK192">
        <v>1</v>
      </c>
      <c r="DL192">
        <v>0</v>
      </c>
      <c r="DM192">
        <v>0</v>
      </c>
      <c r="DN192">
        <v>0</v>
      </c>
      <c r="DO192">
        <v>0</v>
      </c>
      <c r="DP192">
        <v>1</v>
      </c>
      <c r="DQ192">
        <v>0</v>
      </c>
      <c r="DR192">
        <v>0</v>
      </c>
      <c r="DS192">
        <v>0</v>
      </c>
    </row>
    <row r="193" spans="1:123" x14ac:dyDescent="0.25">
      <c r="A193" t="str">
        <f>"11/29/2023 20:17:01.429"</f>
        <v>11/29/2023 20:17:01.429</v>
      </c>
      <c r="C193" t="str">
        <f t="shared" si="28"/>
        <v>FFDF53C0</v>
      </c>
      <c r="D193" t="s">
        <v>138</v>
      </c>
      <c r="E193">
        <v>3</v>
      </c>
      <c r="H193">
        <v>160</v>
      </c>
      <c r="I193" t="s">
        <v>124</v>
      </c>
      <c r="J193" t="s">
        <v>139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"20:17:01.070"</f>
        <v>20:17:01.070</v>
      </c>
      <c r="T193" t="str">
        <f>"20:16:53.970"</f>
        <v>20:16:53.970</v>
      </c>
      <c r="U193" t="str">
        <f t="shared" si="21"/>
        <v>AA0632</v>
      </c>
      <c r="V193">
        <v>0</v>
      </c>
      <c r="W193">
        <v>0</v>
      </c>
      <c r="X193">
        <v>2</v>
      </c>
      <c r="Y193">
        <v>0</v>
      </c>
      <c r="AA193">
        <v>0</v>
      </c>
      <c r="AB193">
        <v>8</v>
      </c>
      <c r="AC193">
        <v>3</v>
      </c>
      <c r="AD193">
        <v>0</v>
      </c>
      <c r="AE193">
        <v>9</v>
      </c>
      <c r="AF193" t="s">
        <v>126</v>
      </c>
      <c r="AG193">
        <v>0</v>
      </c>
      <c r="AH193">
        <v>0</v>
      </c>
      <c r="AI193">
        <v>2</v>
      </c>
      <c r="AJ193">
        <v>0</v>
      </c>
      <c r="AK193" t="s">
        <v>235</v>
      </c>
      <c r="AL193">
        <v>31.962254000000001</v>
      </c>
      <c r="AM193" t="s">
        <v>236</v>
      </c>
      <c r="AN193">
        <v>-101.15344</v>
      </c>
      <c r="AQ193" t="s">
        <v>129</v>
      </c>
      <c r="AR193">
        <v>-91</v>
      </c>
      <c r="AS193">
        <v>5</v>
      </c>
      <c r="AT193">
        <v>0</v>
      </c>
      <c r="BB193" t="str">
        <f t="shared" si="22"/>
        <v>1200</v>
      </c>
      <c r="BC193">
        <v>1</v>
      </c>
      <c r="BD193" t="str">
        <f t="shared" si="25"/>
        <v xml:space="preserve">N745MB  </v>
      </c>
      <c r="BE193">
        <v>1</v>
      </c>
      <c r="BG193">
        <v>0</v>
      </c>
      <c r="BH193">
        <v>0</v>
      </c>
      <c r="BI193">
        <v>0</v>
      </c>
      <c r="BL193" t="s">
        <v>130</v>
      </c>
      <c r="BM193">
        <v>1</v>
      </c>
      <c r="BN193">
        <v>0</v>
      </c>
      <c r="BO193">
        <v>0</v>
      </c>
      <c r="BP193">
        <v>0</v>
      </c>
      <c r="BT193">
        <v>0</v>
      </c>
      <c r="BU193">
        <v>0</v>
      </c>
      <c r="CE193" t="str">
        <f>"20:17:01.075"</f>
        <v>20:17:01.075</v>
      </c>
      <c r="CF193">
        <v>74857322</v>
      </c>
      <c r="CS193">
        <v>0</v>
      </c>
      <c r="CT193">
        <v>1</v>
      </c>
      <c r="CU193">
        <v>0</v>
      </c>
      <c r="CV193">
        <v>2</v>
      </c>
      <c r="CW193">
        <v>0</v>
      </c>
      <c r="CX193">
        <v>2</v>
      </c>
      <c r="CY193">
        <v>7</v>
      </c>
      <c r="CZ193" t="s">
        <v>131</v>
      </c>
      <c r="DA193">
        <v>116</v>
      </c>
      <c r="DB193">
        <v>3</v>
      </c>
      <c r="DC193" t="s">
        <v>132</v>
      </c>
      <c r="DD193" t="s">
        <v>133</v>
      </c>
      <c r="DG193">
        <v>8117451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1</v>
      </c>
      <c r="DQ193">
        <v>0</v>
      </c>
      <c r="DR193">
        <v>0</v>
      </c>
      <c r="DS193">
        <v>0</v>
      </c>
    </row>
    <row r="194" spans="1:123" x14ac:dyDescent="0.25">
      <c r="A194" t="str">
        <f>"11/29/2023 20:17:01.429"</f>
        <v>11/29/2023 20:17:01.429</v>
      </c>
      <c r="C194" t="str">
        <f t="shared" si="28"/>
        <v>FFDF53C0</v>
      </c>
      <c r="D194" t="s">
        <v>123</v>
      </c>
      <c r="E194">
        <v>14</v>
      </c>
      <c r="F194">
        <v>1014</v>
      </c>
      <c r="G194" t="s">
        <v>124</v>
      </c>
      <c r="J194" t="s">
        <v>125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"20:17:01.070"</f>
        <v>20:17:01.070</v>
      </c>
      <c r="T194" t="str">
        <f>"20:16:53.970"</f>
        <v>20:16:53.970</v>
      </c>
      <c r="U194" t="str">
        <f t="shared" ref="U194:U257" si="29">"AA0632"</f>
        <v>AA0632</v>
      </c>
      <c r="V194">
        <v>0</v>
      </c>
      <c r="W194">
        <v>0</v>
      </c>
      <c r="X194">
        <v>2</v>
      </c>
      <c r="Y194">
        <v>0</v>
      </c>
      <c r="AA194">
        <v>0</v>
      </c>
      <c r="AB194">
        <v>8</v>
      </c>
      <c r="AC194">
        <v>3</v>
      </c>
      <c r="AD194">
        <v>0</v>
      </c>
      <c r="AE194">
        <v>9</v>
      </c>
      <c r="AF194" t="s">
        <v>126</v>
      </c>
      <c r="AG194">
        <v>0</v>
      </c>
      <c r="AH194">
        <v>0</v>
      </c>
      <c r="AI194">
        <v>2</v>
      </c>
      <c r="AJ194">
        <v>0</v>
      </c>
      <c r="AK194" t="s">
        <v>235</v>
      </c>
      <c r="AL194">
        <v>31.962254000000001</v>
      </c>
      <c r="AM194" t="s">
        <v>236</v>
      </c>
      <c r="AN194">
        <v>-101.15344</v>
      </c>
      <c r="AQ194" t="s">
        <v>129</v>
      </c>
      <c r="AR194">
        <v>-91</v>
      </c>
      <c r="AS194">
        <v>5</v>
      </c>
      <c r="AT194">
        <v>0</v>
      </c>
      <c r="BB194" t="str">
        <f t="shared" ref="BB194:BB257" si="30">"1200"</f>
        <v>1200</v>
      </c>
      <c r="BC194">
        <v>1</v>
      </c>
      <c r="BD194" t="str">
        <f t="shared" si="25"/>
        <v xml:space="preserve">N745MB  </v>
      </c>
      <c r="BE194">
        <v>1</v>
      </c>
      <c r="BG194">
        <v>0</v>
      </c>
      <c r="BH194">
        <v>0</v>
      </c>
      <c r="BI194">
        <v>0</v>
      </c>
      <c r="BL194" t="s">
        <v>130</v>
      </c>
      <c r="BM194">
        <v>1</v>
      </c>
      <c r="BN194">
        <v>0</v>
      </c>
      <c r="BO194">
        <v>0</v>
      </c>
      <c r="BP194">
        <v>0</v>
      </c>
      <c r="BT194">
        <v>0</v>
      </c>
      <c r="BU194">
        <v>0</v>
      </c>
      <c r="CE194" t="str">
        <f>"20:17:01.075"</f>
        <v>20:17:01.075</v>
      </c>
      <c r="CF194">
        <v>74857322</v>
      </c>
      <c r="CS194">
        <v>0</v>
      </c>
      <c r="CT194">
        <v>1</v>
      </c>
      <c r="CU194">
        <v>0</v>
      </c>
      <c r="CV194">
        <v>2</v>
      </c>
      <c r="CW194">
        <v>0</v>
      </c>
      <c r="CX194">
        <v>2</v>
      </c>
      <c r="CY194">
        <v>7</v>
      </c>
      <c r="CZ194" t="s">
        <v>131</v>
      </c>
      <c r="DA194">
        <v>116</v>
      </c>
      <c r="DB194">
        <v>3</v>
      </c>
      <c r="DC194" t="s">
        <v>132</v>
      </c>
      <c r="DD194" t="s">
        <v>133</v>
      </c>
      <c r="DG194">
        <v>8117451</v>
      </c>
      <c r="DI194">
        <v>0</v>
      </c>
      <c r="DJ194">
        <v>0</v>
      </c>
      <c r="DK194">
        <v>1</v>
      </c>
      <c r="DL194">
        <v>0</v>
      </c>
      <c r="DM194">
        <v>0</v>
      </c>
      <c r="DN194">
        <v>0</v>
      </c>
      <c r="DO194">
        <v>0</v>
      </c>
      <c r="DP194">
        <v>1</v>
      </c>
      <c r="DQ194">
        <v>0</v>
      </c>
      <c r="DR194">
        <v>0</v>
      </c>
      <c r="DS194">
        <v>0</v>
      </c>
    </row>
    <row r="195" spans="1:123" x14ac:dyDescent="0.25">
      <c r="A195" t="str">
        <f>"11/29/2023 20:17:01.429"</f>
        <v>11/29/2023 20:17:01.429</v>
      </c>
      <c r="C195" t="str">
        <f t="shared" si="28"/>
        <v>FFDF53C0</v>
      </c>
      <c r="D195" t="s">
        <v>135</v>
      </c>
      <c r="E195">
        <v>31</v>
      </c>
      <c r="H195">
        <v>285</v>
      </c>
      <c r="I195" t="s">
        <v>136</v>
      </c>
      <c r="J195" t="s">
        <v>137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"20:17:01.070"</f>
        <v>20:17:01.070</v>
      </c>
      <c r="T195" t="str">
        <f>"20:16:53.970"</f>
        <v>20:16:53.970</v>
      </c>
      <c r="U195" t="str">
        <f t="shared" si="29"/>
        <v>AA0632</v>
      </c>
      <c r="V195">
        <v>0</v>
      </c>
      <c r="W195">
        <v>0</v>
      </c>
      <c r="X195">
        <v>2</v>
      </c>
      <c r="Y195">
        <v>0</v>
      </c>
      <c r="AA195">
        <v>0</v>
      </c>
      <c r="AB195">
        <v>8</v>
      </c>
      <c r="AC195">
        <v>3</v>
      </c>
      <c r="AD195">
        <v>0</v>
      </c>
      <c r="AE195">
        <v>9</v>
      </c>
      <c r="AF195" t="s">
        <v>126</v>
      </c>
      <c r="AG195">
        <v>0</v>
      </c>
      <c r="AH195">
        <v>0</v>
      </c>
      <c r="AI195">
        <v>2</v>
      </c>
      <c r="AJ195">
        <v>0</v>
      </c>
      <c r="AK195" t="s">
        <v>235</v>
      </c>
      <c r="AL195">
        <v>31.962254000000001</v>
      </c>
      <c r="AM195" t="s">
        <v>236</v>
      </c>
      <c r="AN195">
        <v>-101.15344</v>
      </c>
      <c r="AQ195" t="s">
        <v>129</v>
      </c>
      <c r="AR195">
        <v>-91</v>
      </c>
      <c r="AS195">
        <v>5</v>
      </c>
      <c r="AT195">
        <v>0</v>
      </c>
      <c r="BB195" t="str">
        <f t="shared" si="30"/>
        <v>1200</v>
      </c>
      <c r="BC195">
        <v>1</v>
      </c>
      <c r="BD195" t="str">
        <f t="shared" si="25"/>
        <v xml:space="preserve">N745MB  </v>
      </c>
      <c r="BE195">
        <v>1</v>
      </c>
      <c r="BG195">
        <v>0</v>
      </c>
      <c r="BH195">
        <v>0</v>
      </c>
      <c r="BI195">
        <v>0</v>
      </c>
      <c r="BL195" t="s">
        <v>130</v>
      </c>
      <c r="BM195">
        <v>1</v>
      </c>
      <c r="BN195">
        <v>0</v>
      </c>
      <c r="BO195">
        <v>0</v>
      </c>
      <c r="BP195">
        <v>0</v>
      </c>
      <c r="BT195">
        <v>0</v>
      </c>
      <c r="BU195">
        <v>0</v>
      </c>
      <c r="CE195" t="str">
        <f>"20:17:01.075"</f>
        <v>20:17:01.075</v>
      </c>
      <c r="CF195">
        <v>74857322</v>
      </c>
      <c r="CS195">
        <v>0</v>
      </c>
      <c r="CT195">
        <v>1</v>
      </c>
      <c r="CU195">
        <v>0</v>
      </c>
      <c r="CV195">
        <v>2</v>
      </c>
      <c r="CW195">
        <v>0</v>
      </c>
      <c r="CX195">
        <v>2</v>
      </c>
      <c r="CY195">
        <v>7</v>
      </c>
      <c r="CZ195" t="s">
        <v>131</v>
      </c>
      <c r="DA195">
        <v>116</v>
      </c>
      <c r="DB195">
        <v>3</v>
      </c>
      <c r="DC195" t="s">
        <v>132</v>
      </c>
      <c r="DD195" t="s">
        <v>133</v>
      </c>
      <c r="DG195">
        <v>8117451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0</v>
      </c>
      <c r="DO195">
        <v>0</v>
      </c>
      <c r="DP195">
        <v>1</v>
      </c>
      <c r="DQ195">
        <v>0</v>
      </c>
      <c r="DR195">
        <v>0</v>
      </c>
      <c r="DS195">
        <v>0</v>
      </c>
    </row>
    <row r="196" spans="1:123" x14ac:dyDescent="0.25">
      <c r="A196" t="str">
        <f>"11/29/2023 20:17:01.429"</f>
        <v>11/29/2023 20:17:01.429</v>
      </c>
      <c r="C196" t="str">
        <f t="shared" si="28"/>
        <v>FFDF53C0</v>
      </c>
      <c r="D196" t="s">
        <v>123</v>
      </c>
      <c r="E196">
        <v>1</v>
      </c>
      <c r="F196">
        <v>1001</v>
      </c>
      <c r="G196" t="s">
        <v>134</v>
      </c>
      <c r="J196" t="s">
        <v>125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"20:17:01.070"</f>
        <v>20:17:01.070</v>
      </c>
      <c r="T196" t="str">
        <f>"20:16:53.970"</f>
        <v>20:16:53.970</v>
      </c>
      <c r="U196" t="str">
        <f t="shared" si="29"/>
        <v>AA0632</v>
      </c>
      <c r="V196">
        <v>0</v>
      </c>
      <c r="W196">
        <v>0</v>
      </c>
      <c r="X196">
        <v>2</v>
      </c>
      <c r="Y196">
        <v>0</v>
      </c>
      <c r="AA196">
        <v>0</v>
      </c>
      <c r="AB196">
        <v>8</v>
      </c>
      <c r="AC196">
        <v>3</v>
      </c>
      <c r="AD196">
        <v>0</v>
      </c>
      <c r="AE196">
        <v>9</v>
      </c>
      <c r="AF196" t="s">
        <v>126</v>
      </c>
      <c r="AG196">
        <v>0</v>
      </c>
      <c r="AH196">
        <v>0</v>
      </c>
      <c r="AI196">
        <v>2</v>
      </c>
      <c r="AJ196">
        <v>0</v>
      </c>
      <c r="AK196" t="s">
        <v>235</v>
      </c>
      <c r="AL196">
        <v>31.962254000000001</v>
      </c>
      <c r="AM196" t="s">
        <v>236</v>
      </c>
      <c r="AN196">
        <v>-101.15344</v>
      </c>
      <c r="AQ196" t="s">
        <v>129</v>
      </c>
      <c r="AR196">
        <v>-91</v>
      </c>
      <c r="AS196">
        <v>5</v>
      </c>
      <c r="AT196">
        <v>0</v>
      </c>
      <c r="BB196" t="str">
        <f t="shared" si="30"/>
        <v>1200</v>
      </c>
      <c r="BC196">
        <v>1</v>
      </c>
      <c r="BD196" t="str">
        <f t="shared" si="25"/>
        <v xml:space="preserve">N745MB  </v>
      </c>
      <c r="BE196">
        <v>1</v>
      </c>
      <c r="BG196">
        <v>0</v>
      </c>
      <c r="BH196">
        <v>0</v>
      </c>
      <c r="BI196">
        <v>0</v>
      </c>
      <c r="BL196" t="s">
        <v>130</v>
      </c>
      <c r="BM196">
        <v>1</v>
      </c>
      <c r="BN196">
        <v>0</v>
      </c>
      <c r="BO196">
        <v>0</v>
      </c>
      <c r="BP196">
        <v>0</v>
      </c>
      <c r="BT196">
        <v>0</v>
      </c>
      <c r="BU196">
        <v>0</v>
      </c>
      <c r="CE196" t="str">
        <f>"20:17:01.075"</f>
        <v>20:17:01.075</v>
      </c>
      <c r="CF196">
        <v>74857322</v>
      </c>
      <c r="CS196">
        <v>0</v>
      </c>
      <c r="CT196">
        <v>1</v>
      </c>
      <c r="CU196">
        <v>0</v>
      </c>
      <c r="CV196">
        <v>2</v>
      </c>
      <c r="CW196">
        <v>0</v>
      </c>
      <c r="CX196">
        <v>2</v>
      </c>
      <c r="CY196">
        <v>7</v>
      </c>
      <c r="CZ196" t="s">
        <v>131</v>
      </c>
      <c r="DA196">
        <v>116</v>
      </c>
      <c r="DB196">
        <v>3</v>
      </c>
      <c r="DC196" t="s">
        <v>132</v>
      </c>
      <c r="DD196" t="s">
        <v>133</v>
      </c>
      <c r="DG196">
        <v>8117451</v>
      </c>
      <c r="DI196">
        <v>0</v>
      </c>
      <c r="DJ196">
        <v>0</v>
      </c>
      <c r="DK196">
        <v>1</v>
      </c>
      <c r="DL196">
        <v>0</v>
      </c>
      <c r="DM196">
        <v>0</v>
      </c>
      <c r="DN196">
        <v>0</v>
      </c>
      <c r="DO196">
        <v>0</v>
      </c>
      <c r="DP196">
        <v>1</v>
      </c>
      <c r="DQ196">
        <v>0</v>
      </c>
      <c r="DR196">
        <v>0</v>
      </c>
      <c r="DS196">
        <v>0</v>
      </c>
    </row>
    <row r="197" spans="1:123" x14ac:dyDescent="0.25">
      <c r="A197" t="str">
        <f>"11/29/2023 20:17:03.726"</f>
        <v>11/29/2023 20:17:03.726</v>
      </c>
      <c r="C197" t="str">
        <f>"FFDF13C0"</f>
        <v>FFDF13C0</v>
      </c>
      <c r="D197" t="s">
        <v>123</v>
      </c>
      <c r="E197">
        <v>14</v>
      </c>
      <c r="F197">
        <v>1014</v>
      </c>
      <c r="G197" t="s">
        <v>124</v>
      </c>
      <c r="J197" t="s">
        <v>125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"20:17:03.234"</f>
        <v>20:17:03.234</v>
      </c>
      <c r="T197" t="str">
        <f>"20:17:03.234"</f>
        <v>20:17:03.234</v>
      </c>
      <c r="U197" t="str">
        <f t="shared" si="29"/>
        <v>AA0632</v>
      </c>
      <c r="V197">
        <v>0</v>
      </c>
      <c r="W197">
        <v>0</v>
      </c>
      <c r="X197">
        <v>2</v>
      </c>
      <c r="Y197">
        <v>0</v>
      </c>
      <c r="AA197">
        <v>0</v>
      </c>
      <c r="AB197">
        <v>8</v>
      </c>
      <c r="AC197">
        <v>0</v>
      </c>
      <c r="AD197">
        <v>0</v>
      </c>
      <c r="AF197" t="s">
        <v>126</v>
      </c>
      <c r="AG197">
        <v>0</v>
      </c>
      <c r="AH197">
        <v>0</v>
      </c>
      <c r="AI197">
        <v>2</v>
      </c>
      <c r="AJ197">
        <v>0</v>
      </c>
      <c r="AK197" t="s">
        <v>237</v>
      </c>
      <c r="AL197">
        <v>31.962297</v>
      </c>
      <c r="AM197" t="s">
        <v>238</v>
      </c>
      <c r="AN197">
        <v>-101.15447</v>
      </c>
      <c r="AQ197" t="s">
        <v>129</v>
      </c>
      <c r="AR197">
        <v>-87</v>
      </c>
      <c r="AS197">
        <v>4</v>
      </c>
      <c r="AT197">
        <v>-256</v>
      </c>
      <c r="BB197" t="str">
        <f t="shared" si="30"/>
        <v>1200</v>
      </c>
      <c r="BC197">
        <v>1</v>
      </c>
      <c r="BD197" t="str">
        <f t="shared" si="25"/>
        <v xml:space="preserve">N745MB  </v>
      </c>
      <c r="BE197">
        <v>1</v>
      </c>
      <c r="BG197">
        <v>0</v>
      </c>
      <c r="BH197">
        <v>0</v>
      </c>
      <c r="BI197">
        <v>0</v>
      </c>
      <c r="CE197" t="str">
        <f>"20:17:03.237"</f>
        <v>20:17:03.237</v>
      </c>
      <c r="CF197">
        <v>236727990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1</v>
      </c>
      <c r="CY197">
        <v>7</v>
      </c>
      <c r="CZ197" t="s">
        <v>131</v>
      </c>
      <c r="DA197">
        <v>483</v>
      </c>
      <c r="DB197">
        <v>1</v>
      </c>
      <c r="DC197" t="s">
        <v>169</v>
      </c>
      <c r="DD197" t="s">
        <v>170</v>
      </c>
      <c r="DG197">
        <v>7297734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1</v>
      </c>
      <c r="DQ197">
        <v>1</v>
      </c>
      <c r="DR197">
        <v>0</v>
      </c>
      <c r="DS197">
        <v>0</v>
      </c>
    </row>
    <row r="198" spans="1:123" x14ac:dyDescent="0.25">
      <c r="A198" t="str">
        <f>"11/29/2023 20:17:03.773"</f>
        <v>11/29/2023 20:17:03.773</v>
      </c>
      <c r="C198" t="str">
        <f t="shared" ref="C198:C204" si="31">"FFDF53C0"</f>
        <v>FFDF53C0</v>
      </c>
      <c r="D198" t="s">
        <v>138</v>
      </c>
      <c r="E198">
        <v>3</v>
      </c>
      <c r="H198">
        <v>160</v>
      </c>
      <c r="I198" t="s">
        <v>124</v>
      </c>
      <c r="J198" t="s">
        <v>139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"20:17:03.234"</f>
        <v>20:17:03.234</v>
      </c>
      <c r="T198" t="str">
        <f>"20:17:03.234"</f>
        <v>20:17:03.234</v>
      </c>
      <c r="U198" t="str">
        <f t="shared" si="29"/>
        <v>AA0632</v>
      </c>
      <c r="V198">
        <v>0</v>
      </c>
      <c r="W198">
        <v>0</v>
      </c>
      <c r="X198">
        <v>2</v>
      </c>
      <c r="Y198">
        <v>0</v>
      </c>
      <c r="AA198">
        <v>0</v>
      </c>
      <c r="AB198">
        <v>8</v>
      </c>
      <c r="AC198">
        <v>0</v>
      </c>
      <c r="AD198">
        <v>0</v>
      </c>
      <c r="AF198" t="s">
        <v>126</v>
      </c>
      <c r="AG198">
        <v>0</v>
      </c>
      <c r="AH198">
        <v>0</v>
      </c>
      <c r="AI198">
        <v>2</v>
      </c>
      <c r="AJ198">
        <v>0</v>
      </c>
      <c r="AK198" t="s">
        <v>237</v>
      </c>
      <c r="AL198">
        <v>31.962297</v>
      </c>
      <c r="AM198" t="s">
        <v>238</v>
      </c>
      <c r="AN198">
        <v>-101.15447</v>
      </c>
      <c r="AQ198" t="s">
        <v>129</v>
      </c>
      <c r="AR198">
        <v>-87</v>
      </c>
      <c r="AS198">
        <v>4</v>
      </c>
      <c r="AT198">
        <v>-256</v>
      </c>
      <c r="BB198" t="str">
        <f t="shared" si="30"/>
        <v>1200</v>
      </c>
      <c r="BC198">
        <v>1</v>
      </c>
      <c r="BD198" t="str">
        <f t="shared" si="25"/>
        <v xml:space="preserve">N745MB  </v>
      </c>
      <c r="BE198">
        <v>1</v>
      </c>
      <c r="BG198">
        <v>0</v>
      </c>
      <c r="BH198">
        <v>0</v>
      </c>
      <c r="BI198">
        <v>0</v>
      </c>
      <c r="BL198" t="s">
        <v>130</v>
      </c>
      <c r="BM198">
        <v>0</v>
      </c>
      <c r="BN198">
        <v>0</v>
      </c>
      <c r="BO198">
        <v>0</v>
      </c>
      <c r="BP198">
        <v>0</v>
      </c>
      <c r="BT198">
        <v>0</v>
      </c>
      <c r="BU198">
        <v>0</v>
      </c>
      <c r="CE198" t="str">
        <f>"20:17:03.237"</f>
        <v>20:17:03.237</v>
      </c>
      <c r="CF198">
        <v>236727990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1</v>
      </c>
      <c r="CY198">
        <v>7</v>
      </c>
      <c r="CZ198" t="s">
        <v>131</v>
      </c>
      <c r="DA198">
        <v>483</v>
      </c>
      <c r="DB198">
        <v>1</v>
      </c>
      <c r="DC198" t="s">
        <v>169</v>
      </c>
      <c r="DD198" t="s">
        <v>170</v>
      </c>
      <c r="DG198">
        <v>7297734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1</v>
      </c>
      <c r="DQ198">
        <v>1</v>
      </c>
      <c r="DR198">
        <v>0</v>
      </c>
      <c r="DS198">
        <v>0</v>
      </c>
    </row>
    <row r="199" spans="1:123" x14ac:dyDescent="0.25">
      <c r="A199" t="str">
        <f>"11/29/2023 20:17:11.288"</f>
        <v>11/29/2023 20:17:11.288</v>
      </c>
      <c r="C199" t="str">
        <f t="shared" si="31"/>
        <v>FFDF53C0</v>
      </c>
      <c r="D199" t="s">
        <v>135</v>
      </c>
      <c r="E199">
        <v>31</v>
      </c>
      <c r="H199">
        <v>285</v>
      </c>
      <c r="I199" t="s">
        <v>136</v>
      </c>
      <c r="J199" t="s">
        <v>137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"20:17:10.875"</f>
        <v>20:17:10.875</v>
      </c>
      <c r="T199" t="str">
        <f>"20:17:06.475"</f>
        <v>20:17:06.475</v>
      </c>
      <c r="U199" t="str">
        <f t="shared" si="29"/>
        <v>AA0632</v>
      </c>
      <c r="V199">
        <v>0</v>
      </c>
      <c r="W199">
        <v>0</v>
      </c>
      <c r="X199">
        <v>2</v>
      </c>
      <c r="Y199">
        <v>0</v>
      </c>
      <c r="AA199">
        <v>0</v>
      </c>
      <c r="AB199">
        <v>9</v>
      </c>
      <c r="AC199">
        <v>3</v>
      </c>
      <c r="AD199">
        <v>0</v>
      </c>
      <c r="AE199">
        <v>10</v>
      </c>
      <c r="AF199" t="s">
        <v>126</v>
      </c>
      <c r="AG199">
        <v>0</v>
      </c>
      <c r="AH199">
        <v>0</v>
      </c>
      <c r="AI199">
        <v>2</v>
      </c>
      <c r="AJ199">
        <v>0</v>
      </c>
      <c r="AK199" t="s">
        <v>237</v>
      </c>
      <c r="AL199">
        <v>31.962297</v>
      </c>
      <c r="AM199" t="s">
        <v>239</v>
      </c>
      <c r="AN199">
        <v>-101.15781800000001</v>
      </c>
      <c r="AQ199" t="s">
        <v>129</v>
      </c>
      <c r="AR199">
        <v>-83</v>
      </c>
      <c r="AS199">
        <v>0</v>
      </c>
      <c r="AT199">
        <v>-64</v>
      </c>
      <c r="BB199" t="str">
        <f t="shared" si="30"/>
        <v>1200</v>
      </c>
      <c r="BC199">
        <v>1</v>
      </c>
      <c r="BD199" t="str">
        <f t="shared" si="25"/>
        <v xml:space="preserve">N745MB  </v>
      </c>
      <c r="BE199">
        <v>1</v>
      </c>
      <c r="BG199">
        <v>0</v>
      </c>
      <c r="BH199">
        <v>0</v>
      </c>
      <c r="BI199">
        <v>0</v>
      </c>
      <c r="BL199" t="s">
        <v>130</v>
      </c>
      <c r="BM199">
        <v>1</v>
      </c>
      <c r="BN199">
        <v>0</v>
      </c>
      <c r="BO199">
        <v>0</v>
      </c>
      <c r="BP199">
        <v>0</v>
      </c>
      <c r="BT199">
        <v>0</v>
      </c>
      <c r="BU199">
        <v>0</v>
      </c>
      <c r="CE199" t="str">
        <f>"20:17:10.878"</f>
        <v>20:17:10.878</v>
      </c>
      <c r="CF199">
        <v>878185860</v>
      </c>
      <c r="CS199">
        <v>0</v>
      </c>
      <c r="CT199">
        <v>2</v>
      </c>
      <c r="CU199">
        <v>0</v>
      </c>
      <c r="CV199">
        <v>2</v>
      </c>
      <c r="CW199">
        <v>0</v>
      </c>
      <c r="CX199">
        <v>1</v>
      </c>
      <c r="CY199">
        <v>7</v>
      </c>
      <c r="CZ199" t="s">
        <v>131</v>
      </c>
      <c r="DA199">
        <v>116</v>
      </c>
      <c r="DB199">
        <v>3</v>
      </c>
      <c r="DC199" t="s">
        <v>132</v>
      </c>
      <c r="DD199" t="s">
        <v>133</v>
      </c>
      <c r="DG199">
        <v>8123076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1</v>
      </c>
      <c r="DQ199">
        <v>0</v>
      </c>
      <c r="DR199">
        <v>0</v>
      </c>
      <c r="DS199">
        <v>0</v>
      </c>
    </row>
    <row r="200" spans="1:123" x14ac:dyDescent="0.25">
      <c r="A200" t="str">
        <f>"11/29/2023 20:17:11.288"</f>
        <v>11/29/2023 20:17:11.288</v>
      </c>
      <c r="C200" t="str">
        <f t="shared" si="31"/>
        <v>FFDF53C0</v>
      </c>
      <c r="D200" t="s">
        <v>138</v>
      </c>
      <c r="E200">
        <v>3</v>
      </c>
      <c r="H200">
        <v>160</v>
      </c>
      <c r="I200" t="s">
        <v>124</v>
      </c>
      <c r="J200" t="s">
        <v>139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"20:17:10.875"</f>
        <v>20:17:10.875</v>
      </c>
      <c r="T200" t="str">
        <f>"20:17:06.475"</f>
        <v>20:17:06.475</v>
      </c>
      <c r="U200" t="str">
        <f t="shared" si="29"/>
        <v>AA0632</v>
      </c>
      <c r="V200">
        <v>0</v>
      </c>
      <c r="W200">
        <v>0</v>
      </c>
      <c r="X200">
        <v>2</v>
      </c>
      <c r="Y200">
        <v>0</v>
      </c>
      <c r="AA200">
        <v>0</v>
      </c>
      <c r="AB200">
        <v>9</v>
      </c>
      <c r="AC200">
        <v>3</v>
      </c>
      <c r="AD200">
        <v>0</v>
      </c>
      <c r="AE200">
        <v>10</v>
      </c>
      <c r="AF200" t="s">
        <v>126</v>
      </c>
      <c r="AG200">
        <v>0</v>
      </c>
      <c r="AH200">
        <v>0</v>
      </c>
      <c r="AI200">
        <v>2</v>
      </c>
      <c r="AJ200">
        <v>0</v>
      </c>
      <c r="AK200" t="s">
        <v>237</v>
      </c>
      <c r="AL200">
        <v>31.962297</v>
      </c>
      <c r="AM200" t="s">
        <v>239</v>
      </c>
      <c r="AN200">
        <v>-101.15781800000001</v>
      </c>
      <c r="AQ200" t="s">
        <v>129</v>
      </c>
      <c r="AR200">
        <v>-83</v>
      </c>
      <c r="AS200">
        <v>0</v>
      </c>
      <c r="AT200">
        <v>-64</v>
      </c>
      <c r="BB200" t="str">
        <f t="shared" si="30"/>
        <v>1200</v>
      </c>
      <c r="BC200">
        <v>1</v>
      </c>
      <c r="BD200" t="str">
        <f t="shared" si="25"/>
        <v xml:space="preserve">N745MB  </v>
      </c>
      <c r="BE200">
        <v>1</v>
      </c>
      <c r="BG200">
        <v>0</v>
      </c>
      <c r="BH200">
        <v>0</v>
      </c>
      <c r="BI200">
        <v>0</v>
      </c>
      <c r="BL200" t="s">
        <v>130</v>
      </c>
      <c r="BM200">
        <v>1</v>
      </c>
      <c r="BN200">
        <v>0</v>
      </c>
      <c r="BO200">
        <v>0</v>
      </c>
      <c r="BP200">
        <v>0</v>
      </c>
      <c r="BT200">
        <v>0</v>
      </c>
      <c r="BU200">
        <v>0</v>
      </c>
      <c r="CE200" t="str">
        <f>"20:17:10.878"</f>
        <v>20:17:10.878</v>
      </c>
      <c r="CF200">
        <v>878185860</v>
      </c>
      <c r="CS200">
        <v>0</v>
      </c>
      <c r="CT200">
        <v>2</v>
      </c>
      <c r="CU200">
        <v>0</v>
      </c>
      <c r="CV200">
        <v>2</v>
      </c>
      <c r="CW200">
        <v>0</v>
      </c>
      <c r="CX200">
        <v>1</v>
      </c>
      <c r="CY200">
        <v>7</v>
      </c>
      <c r="CZ200" t="s">
        <v>131</v>
      </c>
      <c r="DA200">
        <v>116</v>
      </c>
      <c r="DB200">
        <v>3</v>
      </c>
      <c r="DC200" t="s">
        <v>132</v>
      </c>
      <c r="DD200" t="s">
        <v>133</v>
      </c>
      <c r="DG200">
        <v>8123076</v>
      </c>
      <c r="DI200">
        <v>0</v>
      </c>
      <c r="DJ200">
        <v>0</v>
      </c>
      <c r="DK200">
        <v>1</v>
      </c>
      <c r="DL200">
        <v>0</v>
      </c>
      <c r="DM200">
        <v>0</v>
      </c>
      <c r="DN200">
        <v>0</v>
      </c>
      <c r="DO200">
        <v>0</v>
      </c>
      <c r="DP200">
        <v>1</v>
      </c>
      <c r="DQ200">
        <v>0</v>
      </c>
      <c r="DR200">
        <v>0</v>
      </c>
      <c r="DS200">
        <v>0</v>
      </c>
    </row>
    <row r="201" spans="1:123" x14ac:dyDescent="0.25">
      <c r="A201" t="str">
        <f>"11/29/2023 20:17:11.288"</f>
        <v>11/29/2023 20:17:11.288</v>
      </c>
      <c r="C201" t="str">
        <f t="shared" si="31"/>
        <v>FFDF53C0</v>
      </c>
      <c r="D201" t="s">
        <v>123</v>
      </c>
      <c r="E201">
        <v>14</v>
      </c>
      <c r="F201">
        <v>1014</v>
      </c>
      <c r="G201" t="s">
        <v>124</v>
      </c>
      <c r="J201" t="s">
        <v>125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"20:17:10.875"</f>
        <v>20:17:10.875</v>
      </c>
      <c r="T201" t="str">
        <f>"20:17:06.475"</f>
        <v>20:17:06.475</v>
      </c>
      <c r="U201" t="str">
        <f t="shared" si="29"/>
        <v>AA0632</v>
      </c>
      <c r="V201">
        <v>0</v>
      </c>
      <c r="W201">
        <v>0</v>
      </c>
      <c r="X201">
        <v>2</v>
      </c>
      <c r="Y201">
        <v>0</v>
      </c>
      <c r="AA201">
        <v>0</v>
      </c>
      <c r="AB201">
        <v>9</v>
      </c>
      <c r="AC201">
        <v>3</v>
      </c>
      <c r="AD201">
        <v>0</v>
      </c>
      <c r="AE201">
        <v>10</v>
      </c>
      <c r="AF201" t="s">
        <v>126</v>
      </c>
      <c r="AG201">
        <v>0</v>
      </c>
      <c r="AH201">
        <v>0</v>
      </c>
      <c r="AI201">
        <v>2</v>
      </c>
      <c r="AJ201">
        <v>0</v>
      </c>
      <c r="AK201" t="s">
        <v>237</v>
      </c>
      <c r="AL201">
        <v>31.962297</v>
      </c>
      <c r="AM201" t="s">
        <v>239</v>
      </c>
      <c r="AN201">
        <v>-101.15781800000001</v>
      </c>
      <c r="AQ201" t="s">
        <v>129</v>
      </c>
      <c r="AR201">
        <v>-83</v>
      </c>
      <c r="AS201">
        <v>0</v>
      </c>
      <c r="AT201">
        <v>-64</v>
      </c>
      <c r="BB201" t="str">
        <f t="shared" si="30"/>
        <v>1200</v>
      </c>
      <c r="BC201">
        <v>1</v>
      </c>
      <c r="BD201" t="str">
        <f t="shared" si="25"/>
        <v xml:space="preserve">N745MB  </v>
      </c>
      <c r="BE201">
        <v>1</v>
      </c>
      <c r="BG201">
        <v>0</v>
      </c>
      <c r="BH201">
        <v>0</v>
      </c>
      <c r="BI201">
        <v>0</v>
      </c>
      <c r="BL201" t="s">
        <v>130</v>
      </c>
      <c r="BM201">
        <v>1</v>
      </c>
      <c r="BN201">
        <v>0</v>
      </c>
      <c r="BO201">
        <v>0</v>
      </c>
      <c r="BP201">
        <v>0</v>
      </c>
      <c r="BT201">
        <v>0</v>
      </c>
      <c r="BU201">
        <v>0</v>
      </c>
      <c r="CE201" t="str">
        <f>"20:17:10.878"</f>
        <v>20:17:10.878</v>
      </c>
      <c r="CF201">
        <v>878185860</v>
      </c>
      <c r="CS201">
        <v>0</v>
      </c>
      <c r="CT201">
        <v>2</v>
      </c>
      <c r="CU201">
        <v>0</v>
      </c>
      <c r="CV201">
        <v>2</v>
      </c>
      <c r="CW201">
        <v>0</v>
      </c>
      <c r="CX201">
        <v>1</v>
      </c>
      <c r="CY201">
        <v>7</v>
      </c>
      <c r="CZ201" t="s">
        <v>131</v>
      </c>
      <c r="DA201">
        <v>116</v>
      </c>
      <c r="DB201">
        <v>3</v>
      </c>
      <c r="DC201" t="s">
        <v>132</v>
      </c>
      <c r="DD201" t="s">
        <v>133</v>
      </c>
      <c r="DG201">
        <v>8123076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0</v>
      </c>
      <c r="DO201">
        <v>0</v>
      </c>
      <c r="DP201">
        <v>1</v>
      </c>
      <c r="DQ201">
        <v>0</v>
      </c>
      <c r="DR201">
        <v>0</v>
      </c>
      <c r="DS201">
        <v>0</v>
      </c>
    </row>
    <row r="202" spans="1:123" x14ac:dyDescent="0.25">
      <c r="A202" t="str">
        <f>"11/29/2023 20:17:11.288"</f>
        <v>11/29/2023 20:17:11.288</v>
      </c>
      <c r="C202" t="str">
        <f t="shared" si="31"/>
        <v>FFDF53C0</v>
      </c>
      <c r="D202" t="s">
        <v>123</v>
      </c>
      <c r="E202">
        <v>1</v>
      </c>
      <c r="F202">
        <v>1001</v>
      </c>
      <c r="G202" t="s">
        <v>134</v>
      </c>
      <c r="J202" t="s">
        <v>125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"20:17:10.875"</f>
        <v>20:17:10.875</v>
      </c>
      <c r="T202" t="str">
        <f>"20:17:06.475"</f>
        <v>20:17:06.475</v>
      </c>
      <c r="U202" t="str">
        <f t="shared" si="29"/>
        <v>AA0632</v>
      </c>
      <c r="V202">
        <v>0</v>
      </c>
      <c r="W202">
        <v>0</v>
      </c>
      <c r="X202">
        <v>2</v>
      </c>
      <c r="Y202">
        <v>0</v>
      </c>
      <c r="AA202">
        <v>0</v>
      </c>
      <c r="AB202">
        <v>9</v>
      </c>
      <c r="AC202">
        <v>3</v>
      </c>
      <c r="AD202">
        <v>0</v>
      </c>
      <c r="AE202">
        <v>10</v>
      </c>
      <c r="AF202" t="s">
        <v>126</v>
      </c>
      <c r="AG202">
        <v>0</v>
      </c>
      <c r="AH202">
        <v>0</v>
      </c>
      <c r="AI202">
        <v>2</v>
      </c>
      <c r="AJ202">
        <v>0</v>
      </c>
      <c r="AK202" t="s">
        <v>237</v>
      </c>
      <c r="AL202">
        <v>31.962297</v>
      </c>
      <c r="AM202" t="s">
        <v>239</v>
      </c>
      <c r="AN202">
        <v>-101.15781800000001</v>
      </c>
      <c r="AQ202" t="s">
        <v>129</v>
      </c>
      <c r="AR202">
        <v>-83</v>
      </c>
      <c r="AS202">
        <v>0</v>
      </c>
      <c r="AT202">
        <v>-64</v>
      </c>
      <c r="BB202" t="str">
        <f t="shared" si="30"/>
        <v>1200</v>
      </c>
      <c r="BC202">
        <v>1</v>
      </c>
      <c r="BD202" t="str">
        <f t="shared" si="25"/>
        <v xml:space="preserve">N745MB  </v>
      </c>
      <c r="BE202">
        <v>1</v>
      </c>
      <c r="BG202">
        <v>0</v>
      </c>
      <c r="BH202">
        <v>0</v>
      </c>
      <c r="BI202">
        <v>0</v>
      </c>
      <c r="BL202" t="s">
        <v>130</v>
      </c>
      <c r="BM202">
        <v>1</v>
      </c>
      <c r="BN202">
        <v>0</v>
      </c>
      <c r="BO202">
        <v>0</v>
      </c>
      <c r="BP202">
        <v>0</v>
      </c>
      <c r="BT202">
        <v>0</v>
      </c>
      <c r="BU202">
        <v>0</v>
      </c>
      <c r="CE202" t="str">
        <f>"20:17:10.878"</f>
        <v>20:17:10.878</v>
      </c>
      <c r="CF202">
        <v>878185860</v>
      </c>
      <c r="CS202">
        <v>0</v>
      </c>
      <c r="CT202">
        <v>2</v>
      </c>
      <c r="CU202">
        <v>0</v>
      </c>
      <c r="CV202">
        <v>2</v>
      </c>
      <c r="CW202">
        <v>0</v>
      </c>
      <c r="CX202">
        <v>1</v>
      </c>
      <c r="CY202">
        <v>7</v>
      </c>
      <c r="CZ202" t="s">
        <v>131</v>
      </c>
      <c r="DA202">
        <v>116</v>
      </c>
      <c r="DB202">
        <v>3</v>
      </c>
      <c r="DC202" t="s">
        <v>132</v>
      </c>
      <c r="DD202" t="s">
        <v>133</v>
      </c>
      <c r="DG202">
        <v>8123076</v>
      </c>
      <c r="DI202">
        <v>0</v>
      </c>
      <c r="DJ202">
        <v>0</v>
      </c>
      <c r="DK202">
        <v>1</v>
      </c>
      <c r="DL202">
        <v>0</v>
      </c>
      <c r="DM202">
        <v>0</v>
      </c>
      <c r="DN202">
        <v>0</v>
      </c>
      <c r="DO202">
        <v>0</v>
      </c>
      <c r="DP202">
        <v>1</v>
      </c>
      <c r="DQ202">
        <v>0</v>
      </c>
      <c r="DR202">
        <v>0</v>
      </c>
      <c r="DS202">
        <v>0</v>
      </c>
    </row>
    <row r="203" spans="1:123" x14ac:dyDescent="0.25">
      <c r="A203" t="str">
        <f>"11/29/2023 20:17:12.132"</f>
        <v>11/29/2023 20:17:12.132</v>
      </c>
      <c r="C203" t="str">
        <f t="shared" si="31"/>
        <v>FFDF53C0</v>
      </c>
      <c r="D203" t="s">
        <v>135</v>
      </c>
      <c r="E203">
        <v>31</v>
      </c>
      <c r="H203">
        <v>285</v>
      </c>
      <c r="I203" t="s">
        <v>136</v>
      </c>
      <c r="J203" t="s">
        <v>137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"20:17:11.734"</f>
        <v>20:17:11.734</v>
      </c>
      <c r="T203" t="str">
        <f>"20:17:06.534"</f>
        <v>20:17:06.534</v>
      </c>
      <c r="U203" t="str">
        <f t="shared" si="29"/>
        <v>AA0632</v>
      </c>
      <c r="V203">
        <v>0</v>
      </c>
      <c r="W203">
        <v>0</v>
      </c>
      <c r="X203">
        <v>2</v>
      </c>
      <c r="Y203">
        <v>0</v>
      </c>
      <c r="AA203">
        <v>0</v>
      </c>
      <c r="AB203">
        <v>9</v>
      </c>
      <c r="AC203">
        <v>3</v>
      </c>
      <c r="AD203">
        <v>0</v>
      </c>
      <c r="AE203">
        <v>10</v>
      </c>
      <c r="AF203" t="s">
        <v>126</v>
      </c>
      <c r="AG203">
        <v>0</v>
      </c>
      <c r="AH203">
        <v>0</v>
      </c>
      <c r="AI203">
        <v>2</v>
      </c>
      <c r="AJ203">
        <v>0</v>
      </c>
      <c r="AK203" t="s">
        <v>237</v>
      </c>
      <c r="AL203">
        <v>31.962297</v>
      </c>
      <c r="AM203" t="s">
        <v>240</v>
      </c>
      <c r="AN203">
        <v>-101.15818299999999</v>
      </c>
      <c r="AQ203" t="s">
        <v>129</v>
      </c>
      <c r="AR203">
        <v>-83</v>
      </c>
      <c r="AS203">
        <v>0</v>
      </c>
      <c r="AT203">
        <v>-64</v>
      </c>
      <c r="BB203" t="str">
        <f t="shared" si="30"/>
        <v>1200</v>
      </c>
      <c r="BC203">
        <v>1</v>
      </c>
      <c r="BD203" t="str">
        <f t="shared" si="25"/>
        <v xml:space="preserve">N745MB  </v>
      </c>
      <c r="BE203">
        <v>1</v>
      </c>
      <c r="BG203">
        <v>0</v>
      </c>
      <c r="BH203">
        <v>0</v>
      </c>
      <c r="BI203">
        <v>0</v>
      </c>
      <c r="BL203" t="s">
        <v>130</v>
      </c>
      <c r="BM203">
        <v>1</v>
      </c>
      <c r="BN203">
        <v>0</v>
      </c>
      <c r="BO203">
        <v>0</v>
      </c>
      <c r="BP203">
        <v>0</v>
      </c>
      <c r="BT203">
        <v>0</v>
      </c>
      <c r="BU203">
        <v>0</v>
      </c>
      <c r="CE203" t="str">
        <f>"20:17:11.740"</f>
        <v>20:17:11.740</v>
      </c>
      <c r="CF203">
        <v>740124327</v>
      </c>
      <c r="CS203">
        <v>0</v>
      </c>
      <c r="CT203">
        <v>2</v>
      </c>
      <c r="CU203">
        <v>0</v>
      </c>
      <c r="CV203">
        <v>2</v>
      </c>
      <c r="CW203">
        <v>0</v>
      </c>
      <c r="CX203">
        <v>1</v>
      </c>
      <c r="CY203">
        <v>7</v>
      </c>
      <c r="CZ203" t="s">
        <v>131</v>
      </c>
      <c r="DA203">
        <v>116</v>
      </c>
      <c r="DB203">
        <v>3</v>
      </c>
      <c r="DC203" t="s">
        <v>132</v>
      </c>
      <c r="DD203" t="s">
        <v>133</v>
      </c>
      <c r="DG203">
        <v>8123595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1</v>
      </c>
      <c r="DQ203">
        <v>0</v>
      </c>
      <c r="DR203">
        <v>0</v>
      </c>
      <c r="DS203">
        <v>0</v>
      </c>
    </row>
    <row r="204" spans="1:123" x14ac:dyDescent="0.25">
      <c r="A204" t="str">
        <f>"11/29/2023 20:17:12.132"</f>
        <v>11/29/2023 20:17:12.132</v>
      </c>
      <c r="C204" t="str">
        <f t="shared" si="31"/>
        <v>FFDF53C0</v>
      </c>
      <c r="D204" t="s">
        <v>138</v>
      </c>
      <c r="E204">
        <v>3</v>
      </c>
      <c r="H204">
        <v>160</v>
      </c>
      <c r="I204" t="s">
        <v>124</v>
      </c>
      <c r="J204" t="s">
        <v>139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"20:17:11.734"</f>
        <v>20:17:11.734</v>
      </c>
      <c r="T204" t="str">
        <f>"20:17:10.734"</f>
        <v>20:17:10.734</v>
      </c>
      <c r="U204" t="str">
        <f t="shared" si="29"/>
        <v>AA0632</v>
      </c>
      <c r="V204">
        <v>0</v>
      </c>
      <c r="W204">
        <v>0</v>
      </c>
      <c r="X204">
        <v>2</v>
      </c>
      <c r="Y204">
        <v>0</v>
      </c>
      <c r="AA204">
        <v>0</v>
      </c>
      <c r="AB204">
        <v>9</v>
      </c>
      <c r="AC204">
        <v>0</v>
      </c>
      <c r="AD204">
        <v>0</v>
      </c>
      <c r="AF204" t="s">
        <v>126</v>
      </c>
      <c r="AG204">
        <v>0</v>
      </c>
      <c r="AH204">
        <v>0</v>
      </c>
      <c r="AI204">
        <v>2</v>
      </c>
      <c r="AJ204">
        <v>0</v>
      </c>
      <c r="AK204" t="s">
        <v>237</v>
      </c>
      <c r="AL204">
        <v>31.962297</v>
      </c>
      <c r="AM204" t="s">
        <v>240</v>
      </c>
      <c r="AN204">
        <v>-101.15818299999999</v>
      </c>
      <c r="AQ204" t="s">
        <v>129</v>
      </c>
      <c r="AR204">
        <v>-78</v>
      </c>
      <c r="AS204">
        <v>-2</v>
      </c>
      <c r="AT204">
        <v>64</v>
      </c>
      <c r="BB204" t="str">
        <f t="shared" si="30"/>
        <v>1200</v>
      </c>
      <c r="BC204">
        <v>1</v>
      </c>
      <c r="BD204" t="str">
        <f t="shared" si="25"/>
        <v xml:space="preserve">N745MB  </v>
      </c>
      <c r="BE204">
        <v>1</v>
      </c>
      <c r="BG204">
        <v>0</v>
      </c>
      <c r="BH204">
        <v>0</v>
      </c>
      <c r="BI204">
        <v>0</v>
      </c>
      <c r="BL204" t="s">
        <v>130</v>
      </c>
      <c r="BM204">
        <v>0</v>
      </c>
      <c r="BN204">
        <v>0</v>
      </c>
      <c r="BO204">
        <v>0</v>
      </c>
      <c r="BP204">
        <v>0</v>
      </c>
      <c r="BT204">
        <v>0</v>
      </c>
      <c r="BU204">
        <v>0</v>
      </c>
      <c r="CE204" t="str">
        <f>"20:17:11.740"</f>
        <v>20:17:11.740</v>
      </c>
      <c r="CF204">
        <v>740141894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2</v>
      </c>
      <c r="CY204">
        <v>7</v>
      </c>
      <c r="CZ204" t="s">
        <v>131</v>
      </c>
      <c r="DA204">
        <v>483</v>
      </c>
      <c r="DB204">
        <v>1</v>
      </c>
      <c r="DC204" t="s">
        <v>169</v>
      </c>
      <c r="DD204" t="s">
        <v>170</v>
      </c>
      <c r="DG204">
        <v>7299048</v>
      </c>
      <c r="DI204">
        <v>0</v>
      </c>
      <c r="DJ204">
        <v>0</v>
      </c>
      <c r="DK204">
        <v>1</v>
      </c>
      <c r="DL204">
        <v>0</v>
      </c>
      <c r="DM204">
        <v>0</v>
      </c>
      <c r="DN204">
        <v>0</v>
      </c>
      <c r="DO204">
        <v>0</v>
      </c>
      <c r="DP204">
        <v>1</v>
      </c>
      <c r="DQ204">
        <v>0</v>
      </c>
      <c r="DR204">
        <v>0</v>
      </c>
      <c r="DS204">
        <v>0</v>
      </c>
    </row>
    <row r="205" spans="1:123" x14ac:dyDescent="0.25">
      <c r="A205" t="str">
        <f>"11/29/2023 20:17:12.132"</f>
        <v>11/29/2023 20:17:12.132</v>
      </c>
      <c r="C205" t="str">
        <f>"FFDF13C0"</f>
        <v>FFDF13C0</v>
      </c>
      <c r="D205" t="s">
        <v>123</v>
      </c>
      <c r="E205">
        <v>14</v>
      </c>
      <c r="F205">
        <v>1014</v>
      </c>
      <c r="G205" t="s">
        <v>124</v>
      </c>
      <c r="J205" t="s">
        <v>125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"20:17:11.734"</f>
        <v>20:17:11.734</v>
      </c>
      <c r="T205" t="str">
        <f>"20:17:10.734"</f>
        <v>20:17:10.734</v>
      </c>
      <c r="U205" t="str">
        <f t="shared" si="29"/>
        <v>AA0632</v>
      </c>
      <c r="V205">
        <v>0</v>
      </c>
      <c r="W205">
        <v>0</v>
      </c>
      <c r="X205">
        <v>2</v>
      </c>
      <c r="Y205">
        <v>0</v>
      </c>
      <c r="AA205">
        <v>0</v>
      </c>
      <c r="AB205">
        <v>9</v>
      </c>
      <c r="AC205">
        <v>0</v>
      </c>
      <c r="AD205">
        <v>0</v>
      </c>
      <c r="AF205" t="s">
        <v>126</v>
      </c>
      <c r="AG205">
        <v>0</v>
      </c>
      <c r="AH205">
        <v>0</v>
      </c>
      <c r="AI205">
        <v>2</v>
      </c>
      <c r="AJ205">
        <v>0</v>
      </c>
      <c r="AK205" t="s">
        <v>237</v>
      </c>
      <c r="AL205">
        <v>31.962297</v>
      </c>
      <c r="AM205" t="s">
        <v>240</v>
      </c>
      <c r="AN205">
        <v>-101.15818299999999</v>
      </c>
      <c r="AQ205" t="s">
        <v>129</v>
      </c>
      <c r="AR205">
        <v>-78</v>
      </c>
      <c r="AS205">
        <v>-2</v>
      </c>
      <c r="AT205">
        <v>64</v>
      </c>
      <c r="BB205" t="str">
        <f t="shared" si="30"/>
        <v>1200</v>
      </c>
      <c r="BC205">
        <v>1</v>
      </c>
      <c r="BD205" t="str">
        <f t="shared" si="25"/>
        <v xml:space="preserve">N745MB  </v>
      </c>
      <c r="BE205">
        <v>1</v>
      </c>
      <c r="BG205">
        <v>0</v>
      </c>
      <c r="BH205">
        <v>0</v>
      </c>
      <c r="BI205">
        <v>0</v>
      </c>
      <c r="CE205" t="str">
        <f>"20:17:11.740"</f>
        <v>20:17:11.740</v>
      </c>
      <c r="CF205">
        <v>740141894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2</v>
      </c>
      <c r="CY205">
        <v>7</v>
      </c>
      <c r="CZ205" t="s">
        <v>131</v>
      </c>
      <c r="DA205">
        <v>483</v>
      </c>
      <c r="DB205">
        <v>1</v>
      </c>
      <c r="DC205" t="s">
        <v>169</v>
      </c>
      <c r="DD205" t="s">
        <v>170</v>
      </c>
      <c r="DG205">
        <v>7299048</v>
      </c>
      <c r="DI205">
        <v>0</v>
      </c>
      <c r="DJ205">
        <v>0</v>
      </c>
      <c r="DK205">
        <v>1</v>
      </c>
      <c r="DL205">
        <v>0</v>
      </c>
      <c r="DM205">
        <v>0</v>
      </c>
      <c r="DN205">
        <v>0</v>
      </c>
      <c r="DO205">
        <v>0</v>
      </c>
      <c r="DP205">
        <v>1</v>
      </c>
      <c r="DQ205">
        <v>0</v>
      </c>
      <c r="DR205">
        <v>0</v>
      </c>
      <c r="DS205">
        <v>0</v>
      </c>
    </row>
    <row r="206" spans="1:123" x14ac:dyDescent="0.25">
      <c r="A206" t="str">
        <f>"11/29/2023 20:17:12.132"</f>
        <v>11/29/2023 20:17:12.132</v>
      </c>
      <c r="C206" t="str">
        <f t="shared" ref="C206:C222" si="32">"FFDF53C0"</f>
        <v>FFDF53C0</v>
      </c>
      <c r="D206" t="s">
        <v>123</v>
      </c>
      <c r="E206">
        <v>1</v>
      </c>
      <c r="F206">
        <v>1001</v>
      </c>
      <c r="G206" t="s">
        <v>134</v>
      </c>
      <c r="J206" t="s">
        <v>125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"20:17:11.734"</f>
        <v>20:17:11.734</v>
      </c>
      <c r="T206" t="str">
        <f>"20:17:06.534"</f>
        <v>20:17:06.534</v>
      </c>
      <c r="U206" t="str">
        <f t="shared" si="29"/>
        <v>AA0632</v>
      </c>
      <c r="V206">
        <v>0</v>
      </c>
      <c r="W206">
        <v>0</v>
      </c>
      <c r="X206">
        <v>2</v>
      </c>
      <c r="Y206">
        <v>0</v>
      </c>
      <c r="AA206">
        <v>0</v>
      </c>
      <c r="AB206">
        <v>9</v>
      </c>
      <c r="AC206">
        <v>3</v>
      </c>
      <c r="AD206">
        <v>0</v>
      </c>
      <c r="AE206">
        <v>10</v>
      </c>
      <c r="AF206" t="s">
        <v>126</v>
      </c>
      <c r="AG206">
        <v>0</v>
      </c>
      <c r="AH206">
        <v>0</v>
      </c>
      <c r="AI206">
        <v>2</v>
      </c>
      <c r="AJ206">
        <v>0</v>
      </c>
      <c r="AK206" t="s">
        <v>237</v>
      </c>
      <c r="AL206">
        <v>31.962297</v>
      </c>
      <c r="AM206" t="s">
        <v>240</v>
      </c>
      <c r="AN206">
        <v>-101.15818299999999</v>
      </c>
      <c r="AQ206" t="s">
        <v>129</v>
      </c>
      <c r="AR206">
        <v>-83</v>
      </c>
      <c r="AS206">
        <v>0</v>
      </c>
      <c r="AT206">
        <v>-64</v>
      </c>
      <c r="BB206" t="str">
        <f t="shared" si="30"/>
        <v>1200</v>
      </c>
      <c r="BC206">
        <v>1</v>
      </c>
      <c r="BD206" t="str">
        <f t="shared" si="25"/>
        <v xml:space="preserve">N745MB  </v>
      </c>
      <c r="BE206">
        <v>1</v>
      </c>
      <c r="BG206">
        <v>0</v>
      </c>
      <c r="BH206">
        <v>0</v>
      </c>
      <c r="BI206">
        <v>0</v>
      </c>
      <c r="BL206" t="s">
        <v>130</v>
      </c>
      <c r="BM206">
        <v>1</v>
      </c>
      <c r="BN206">
        <v>0</v>
      </c>
      <c r="BO206">
        <v>0</v>
      </c>
      <c r="BP206">
        <v>0</v>
      </c>
      <c r="BT206">
        <v>0</v>
      </c>
      <c r="BU206">
        <v>0</v>
      </c>
      <c r="CE206" t="str">
        <f>"20:17:11.740"</f>
        <v>20:17:11.740</v>
      </c>
      <c r="CF206">
        <v>740124327</v>
      </c>
      <c r="CS206">
        <v>0</v>
      </c>
      <c r="CT206">
        <v>2</v>
      </c>
      <c r="CU206">
        <v>0</v>
      </c>
      <c r="CV206">
        <v>2</v>
      </c>
      <c r="CW206">
        <v>0</v>
      </c>
      <c r="CX206">
        <v>1</v>
      </c>
      <c r="CY206">
        <v>7</v>
      </c>
      <c r="CZ206" t="s">
        <v>131</v>
      </c>
      <c r="DA206">
        <v>116</v>
      </c>
      <c r="DB206">
        <v>3</v>
      </c>
      <c r="DC206" t="s">
        <v>132</v>
      </c>
      <c r="DD206" t="s">
        <v>133</v>
      </c>
      <c r="DG206">
        <v>8123595</v>
      </c>
      <c r="DI206">
        <v>0</v>
      </c>
      <c r="DJ206">
        <v>0</v>
      </c>
      <c r="DK206">
        <v>1</v>
      </c>
      <c r="DL206">
        <v>0</v>
      </c>
      <c r="DM206">
        <v>0</v>
      </c>
      <c r="DN206">
        <v>0</v>
      </c>
      <c r="DO206">
        <v>0</v>
      </c>
      <c r="DP206">
        <v>1</v>
      </c>
      <c r="DQ206">
        <v>0</v>
      </c>
      <c r="DR206">
        <v>0</v>
      </c>
      <c r="DS206">
        <v>0</v>
      </c>
    </row>
    <row r="207" spans="1:123" x14ac:dyDescent="0.25">
      <c r="A207" t="str">
        <f>"11/29/2023 20:17:13.445"</f>
        <v>11/29/2023 20:17:13.445</v>
      </c>
      <c r="C207" t="str">
        <f t="shared" si="32"/>
        <v>FFDF53C0</v>
      </c>
      <c r="D207" t="s">
        <v>123</v>
      </c>
      <c r="E207">
        <v>1</v>
      </c>
      <c r="F207">
        <v>1001</v>
      </c>
      <c r="G207" t="s">
        <v>134</v>
      </c>
      <c r="J207" t="s">
        <v>125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 t="shared" ref="S207:T210" si="33">"20:17:12.750"</f>
        <v>20:17:12.750</v>
      </c>
      <c r="T207" t="str">
        <f t="shared" si="33"/>
        <v>20:17:12.750</v>
      </c>
      <c r="U207" t="str">
        <f t="shared" si="29"/>
        <v>AA0632</v>
      </c>
      <c r="V207">
        <v>0</v>
      </c>
      <c r="W207">
        <v>0</v>
      </c>
      <c r="X207">
        <v>2</v>
      </c>
      <c r="Y207">
        <v>0</v>
      </c>
      <c r="AA207">
        <v>0</v>
      </c>
      <c r="AB207">
        <v>9</v>
      </c>
      <c r="AC207">
        <v>3</v>
      </c>
      <c r="AD207">
        <v>0</v>
      </c>
      <c r="AE207">
        <v>10</v>
      </c>
      <c r="AF207" t="s">
        <v>126</v>
      </c>
      <c r="AG207">
        <v>0</v>
      </c>
      <c r="AH207">
        <v>0</v>
      </c>
      <c r="AI207">
        <v>2</v>
      </c>
      <c r="AJ207">
        <v>0</v>
      </c>
      <c r="AK207" t="s">
        <v>235</v>
      </c>
      <c r="AL207">
        <v>31.962254000000001</v>
      </c>
      <c r="AM207" t="s">
        <v>241</v>
      </c>
      <c r="AN207">
        <v>-101.158569</v>
      </c>
      <c r="AQ207" t="s">
        <v>129</v>
      </c>
      <c r="AR207">
        <v>-75</v>
      </c>
      <c r="AS207">
        <v>-3</v>
      </c>
      <c r="AT207">
        <v>0</v>
      </c>
      <c r="BB207" t="str">
        <f t="shared" si="30"/>
        <v>1200</v>
      </c>
      <c r="BC207">
        <v>1</v>
      </c>
      <c r="BD207" t="str">
        <f t="shared" si="25"/>
        <v xml:space="preserve">N745MB  </v>
      </c>
      <c r="BE207">
        <v>1</v>
      </c>
      <c r="BG207">
        <v>0</v>
      </c>
      <c r="BH207">
        <v>0</v>
      </c>
      <c r="BI207">
        <v>0</v>
      </c>
      <c r="BL207" t="s">
        <v>130</v>
      </c>
      <c r="BM207">
        <v>1</v>
      </c>
      <c r="BN207">
        <v>0</v>
      </c>
      <c r="BO207">
        <v>0</v>
      </c>
      <c r="BP207">
        <v>0</v>
      </c>
      <c r="BT207">
        <v>0</v>
      </c>
      <c r="BU207">
        <v>0</v>
      </c>
      <c r="CE207" t="str">
        <f>"20:17:12.756"</f>
        <v>20:17:12.756</v>
      </c>
      <c r="CF207">
        <v>756054524</v>
      </c>
      <c r="CS207">
        <v>0</v>
      </c>
      <c r="CT207">
        <v>2</v>
      </c>
      <c r="CU207">
        <v>0</v>
      </c>
      <c r="CV207">
        <v>2</v>
      </c>
      <c r="CW207">
        <v>0</v>
      </c>
      <c r="CX207">
        <v>1</v>
      </c>
      <c r="CY207">
        <v>7</v>
      </c>
      <c r="CZ207" t="s">
        <v>131</v>
      </c>
      <c r="DA207">
        <v>116</v>
      </c>
      <c r="DB207">
        <v>3</v>
      </c>
      <c r="DC207" t="s">
        <v>132</v>
      </c>
      <c r="DD207" t="s">
        <v>133</v>
      </c>
      <c r="DG207">
        <v>8124211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1</v>
      </c>
      <c r="DQ207">
        <v>0</v>
      </c>
      <c r="DR207">
        <v>0</v>
      </c>
      <c r="DS207">
        <v>0</v>
      </c>
    </row>
    <row r="208" spans="1:123" x14ac:dyDescent="0.25">
      <c r="A208" t="str">
        <f>"11/29/2023 20:17:13.491"</f>
        <v>11/29/2023 20:17:13.491</v>
      </c>
      <c r="C208" t="str">
        <f t="shared" si="32"/>
        <v>FFDF53C0</v>
      </c>
      <c r="D208" t="s">
        <v>135</v>
      </c>
      <c r="E208">
        <v>31</v>
      </c>
      <c r="H208">
        <v>285</v>
      </c>
      <c r="I208" t="s">
        <v>136</v>
      </c>
      <c r="J208" t="s">
        <v>137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 t="shared" si="33"/>
        <v>20:17:12.750</v>
      </c>
      <c r="T208" t="str">
        <f t="shared" si="33"/>
        <v>20:17:12.750</v>
      </c>
      <c r="U208" t="str">
        <f t="shared" si="29"/>
        <v>AA0632</v>
      </c>
      <c r="V208">
        <v>0</v>
      </c>
      <c r="W208">
        <v>0</v>
      </c>
      <c r="X208">
        <v>2</v>
      </c>
      <c r="Y208">
        <v>0</v>
      </c>
      <c r="AA208">
        <v>0</v>
      </c>
      <c r="AB208">
        <v>9</v>
      </c>
      <c r="AC208">
        <v>3</v>
      </c>
      <c r="AD208">
        <v>0</v>
      </c>
      <c r="AE208">
        <v>10</v>
      </c>
      <c r="AF208" t="s">
        <v>126</v>
      </c>
      <c r="AG208">
        <v>0</v>
      </c>
      <c r="AH208">
        <v>0</v>
      </c>
      <c r="AI208">
        <v>2</v>
      </c>
      <c r="AJ208">
        <v>0</v>
      </c>
      <c r="AK208" t="s">
        <v>235</v>
      </c>
      <c r="AL208">
        <v>31.962254000000001</v>
      </c>
      <c r="AM208" t="s">
        <v>241</v>
      </c>
      <c r="AN208">
        <v>-101.158569</v>
      </c>
      <c r="AQ208" t="s">
        <v>129</v>
      </c>
      <c r="AR208">
        <v>-75</v>
      </c>
      <c r="AS208">
        <v>-3</v>
      </c>
      <c r="AT208">
        <v>0</v>
      </c>
      <c r="BB208" t="str">
        <f t="shared" si="30"/>
        <v>1200</v>
      </c>
      <c r="BC208">
        <v>1</v>
      </c>
      <c r="BD208" t="str">
        <f t="shared" si="25"/>
        <v xml:space="preserve">N745MB  </v>
      </c>
      <c r="BE208">
        <v>1</v>
      </c>
      <c r="BG208">
        <v>0</v>
      </c>
      <c r="BH208">
        <v>0</v>
      </c>
      <c r="BI208">
        <v>0</v>
      </c>
      <c r="BL208" t="s">
        <v>130</v>
      </c>
      <c r="BM208">
        <v>1</v>
      </c>
      <c r="BN208">
        <v>0</v>
      </c>
      <c r="BO208">
        <v>0</v>
      </c>
      <c r="BP208">
        <v>0</v>
      </c>
      <c r="BT208">
        <v>0</v>
      </c>
      <c r="BU208">
        <v>0</v>
      </c>
      <c r="CE208" t="str">
        <f>"20:17:12.756"</f>
        <v>20:17:12.756</v>
      </c>
      <c r="CF208">
        <v>756054524</v>
      </c>
      <c r="CS208">
        <v>0</v>
      </c>
      <c r="CT208">
        <v>2</v>
      </c>
      <c r="CU208">
        <v>0</v>
      </c>
      <c r="CV208">
        <v>2</v>
      </c>
      <c r="CW208">
        <v>0</v>
      </c>
      <c r="CX208">
        <v>1</v>
      </c>
      <c r="CY208">
        <v>7</v>
      </c>
      <c r="CZ208" t="s">
        <v>131</v>
      </c>
      <c r="DA208">
        <v>116</v>
      </c>
      <c r="DB208">
        <v>3</v>
      </c>
      <c r="DC208" t="s">
        <v>132</v>
      </c>
      <c r="DD208" t="s">
        <v>133</v>
      </c>
      <c r="DG208">
        <v>8124211</v>
      </c>
      <c r="DI208">
        <v>0</v>
      </c>
      <c r="DJ208">
        <v>0</v>
      </c>
      <c r="DK208">
        <v>1</v>
      </c>
      <c r="DL208">
        <v>0</v>
      </c>
      <c r="DM208">
        <v>0</v>
      </c>
      <c r="DN208">
        <v>0</v>
      </c>
      <c r="DO208">
        <v>0</v>
      </c>
      <c r="DP208">
        <v>1</v>
      </c>
      <c r="DQ208">
        <v>0</v>
      </c>
      <c r="DR208">
        <v>0</v>
      </c>
      <c r="DS208">
        <v>0</v>
      </c>
    </row>
    <row r="209" spans="1:123" x14ac:dyDescent="0.25">
      <c r="A209" t="str">
        <f>"11/29/2023 20:17:13.491"</f>
        <v>11/29/2023 20:17:13.491</v>
      </c>
      <c r="C209" t="str">
        <f t="shared" si="32"/>
        <v>FFDF53C0</v>
      </c>
      <c r="D209" t="s">
        <v>138</v>
      </c>
      <c r="E209">
        <v>3</v>
      </c>
      <c r="H209">
        <v>160</v>
      </c>
      <c r="I209" t="s">
        <v>124</v>
      </c>
      <c r="J209" t="s">
        <v>139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 t="shared" si="33"/>
        <v>20:17:12.750</v>
      </c>
      <c r="T209" t="str">
        <f t="shared" si="33"/>
        <v>20:17:12.750</v>
      </c>
      <c r="U209" t="str">
        <f t="shared" si="29"/>
        <v>AA0632</v>
      </c>
      <c r="V209">
        <v>0</v>
      </c>
      <c r="W209">
        <v>0</v>
      </c>
      <c r="X209">
        <v>2</v>
      </c>
      <c r="Y209">
        <v>0</v>
      </c>
      <c r="AA209">
        <v>0</v>
      </c>
      <c r="AB209">
        <v>9</v>
      </c>
      <c r="AC209">
        <v>3</v>
      </c>
      <c r="AD209">
        <v>0</v>
      </c>
      <c r="AE209">
        <v>10</v>
      </c>
      <c r="AF209" t="s">
        <v>126</v>
      </c>
      <c r="AG209">
        <v>0</v>
      </c>
      <c r="AH209">
        <v>0</v>
      </c>
      <c r="AI209">
        <v>2</v>
      </c>
      <c r="AJ209">
        <v>0</v>
      </c>
      <c r="AK209" t="s">
        <v>235</v>
      </c>
      <c r="AL209">
        <v>31.962254000000001</v>
      </c>
      <c r="AM209" t="s">
        <v>241</v>
      </c>
      <c r="AN209">
        <v>-101.158569</v>
      </c>
      <c r="AQ209" t="s">
        <v>129</v>
      </c>
      <c r="AR209">
        <v>-75</v>
      </c>
      <c r="AS209">
        <v>-3</v>
      </c>
      <c r="AT209">
        <v>0</v>
      </c>
      <c r="BB209" t="str">
        <f t="shared" si="30"/>
        <v>1200</v>
      </c>
      <c r="BC209">
        <v>1</v>
      </c>
      <c r="BD209" t="str">
        <f t="shared" si="25"/>
        <v xml:space="preserve">N745MB  </v>
      </c>
      <c r="BE209">
        <v>1</v>
      </c>
      <c r="BG209">
        <v>0</v>
      </c>
      <c r="BH209">
        <v>0</v>
      </c>
      <c r="BI209">
        <v>0</v>
      </c>
      <c r="BL209" t="s">
        <v>130</v>
      </c>
      <c r="BM209">
        <v>1</v>
      </c>
      <c r="BN209">
        <v>0</v>
      </c>
      <c r="BO209">
        <v>0</v>
      </c>
      <c r="BP209">
        <v>0</v>
      </c>
      <c r="BT209">
        <v>0</v>
      </c>
      <c r="BU209">
        <v>0</v>
      </c>
      <c r="CE209" t="str">
        <f>"20:17:12.756"</f>
        <v>20:17:12.756</v>
      </c>
      <c r="CF209">
        <v>756054524</v>
      </c>
      <c r="CS209">
        <v>0</v>
      </c>
      <c r="CT209">
        <v>2</v>
      </c>
      <c r="CU209">
        <v>0</v>
      </c>
      <c r="CV209">
        <v>2</v>
      </c>
      <c r="CW209">
        <v>0</v>
      </c>
      <c r="CX209">
        <v>1</v>
      </c>
      <c r="CY209">
        <v>7</v>
      </c>
      <c r="CZ209" t="s">
        <v>131</v>
      </c>
      <c r="DA209">
        <v>116</v>
      </c>
      <c r="DB209">
        <v>3</v>
      </c>
      <c r="DC209" t="s">
        <v>132</v>
      </c>
      <c r="DD209" t="s">
        <v>133</v>
      </c>
      <c r="DG209">
        <v>8124211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1</v>
      </c>
      <c r="DQ209">
        <v>0</v>
      </c>
      <c r="DR209">
        <v>0</v>
      </c>
      <c r="DS209">
        <v>0</v>
      </c>
    </row>
    <row r="210" spans="1:123" x14ac:dyDescent="0.25">
      <c r="A210" t="str">
        <f>"11/29/2023 20:17:13.491"</f>
        <v>11/29/2023 20:17:13.491</v>
      </c>
      <c r="C210" t="str">
        <f t="shared" si="32"/>
        <v>FFDF53C0</v>
      </c>
      <c r="D210" t="s">
        <v>123</v>
      </c>
      <c r="E210">
        <v>14</v>
      </c>
      <c r="F210">
        <v>1014</v>
      </c>
      <c r="G210" t="s">
        <v>124</v>
      </c>
      <c r="J210" t="s">
        <v>125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 t="shared" si="33"/>
        <v>20:17:12.750</v>
      </c>
      <c r="T210" t="str">
        <f t="shared" si="33"/>
        <v>20:17:12.750</v>
      </c>
      <c r="U210" t="str">
        <f t="shared" si="29"/>
        <v>AA0632</v>
      </c>
      <c r="V210">
        <v>0</v>
      </c>
      <c r="W210">
        <v>0</v>
      </c>
      <c r="X210">
        <v>2</v>
      </c>
      <c r="Y210">
        <v>0</v>
      </c>
      <c r="AA210">
        <v>0</v>
      </c>
      <c r="AB210">
        <v>9</v>
      </c>
      <c r="AC210">
        <v>3</v>
      </c>
      <c r="AD210">
        <v>0</v>
      </c>
      <c r="AE210">
        <v>10</v>
      </c>
      <c r="AF210" t="s">
        <v>126</v>
      </c>
      <c r="AG210">
        <v>0</v>
      </c>
      <c r="AH210">
        <v>0</v>
      </c>
      <c r="AI210">
        <v>2</v>
      </c>
      <c r="AJ210">
        <v>0</v>
      </c>
      <c r="AK210" t="s">
        <v>235</v>
      </c>
      <c r="AL210">
        <v>31.962254000000001</v>
      </c>
      <c r="AM210" t="s">
        <v>241</v>
      </c>
      <c r="AN210">
        <v>-101.158569</v>
      </c>
      <c r="AQ210" t="s">
        <v>129</v>
      </c>
      <c r="AR210">
        <v>-75</v>
      </c>
      <c r="AS210">
        <v>-3</v>
      </c>
      <c r="AT210">
        <v>0</v>
      </c>
      <c r="BB210" t="str">
        <f t="shared" si="30"/>
        <v>1200</v>
      </c>
      <c r="BC210">
        <v>1</v>
      </c>
      <c r="BD210" t="str">
        <f t="shared" ref="BD210:BD273" si="34">"N745MB  "</f>
        <v xml:space="preserve">N745MB  </v>
      </c>
      <c r="BE210">
        <v>1</v>
      </c>
      <c r="BG210">
        <v>0</v>
      </c>
      <c r="BH210">
        <v>0</v>
      </c>
      <c r="BI210">
        <v>0</v>
      </c>
      <c r="BL210" t="s">
        <v>130</v>
      </c>
      <c r="BM210">
        <v>1</v>
      </c>
      <c r="BN210">
        <v>0</v>
      </c>
      <c r="BO210">
        <v>0</v>
      </c>
      <c r="BP210">
        <v>0</v>
      </c>
      <c r="BT210">
        <v>0</v>
      </c>
      <c r="BU210">
        <v>0</v>
      </c>
      <c r="CE210" t="str">
        <f>"20:17:12.756"</f>
        <v>20:17:12.756</v>
      </c>
      <c r="CF210">
        <v>756054524</v>
      </c>
      <c r="CS210">
        <v>0</v>
      </c>
      <c r="CT210">
        <v>2</v>
      </c>
      <c r="CU210">
        <v>0</v>
      </c>
      <c r="CV210">
        <v>2</v>
      </c>
      <c r="CW210">
        <v>0</v>
      </c>
      <c r="CX210">
        <v>1</v>
      </c>
      <c r="CY210">
        <v>7</v>
      </c>
      <c r="CZ210" t="s">
        <v>131</v>
      </c>
      <c r="DA210">
        <v>116</v>
      </c>
      <c r="DB210">
        <v>3</v>
      </c>
      <c r="DC210" t="s">
        <v>132</v>
      </c>
      <c r="DD210" t="s">
        <v>133</v>
      </c>
      <c r="DG210">
        <v>8124211</v>
      </c>
      <c r="DI210">
        <v>0</v>
      </c>
      <c r="DJ210">
        <v>0</v>
      </c>
      <c r="DK210">
        <v>1</v>
      </c>
      <c r="DL210">
        <v>0</v>
      </c>
      <c r="DM210">
        <v>0</v>
      </c>
      <c r="DN210">
        <v>0</v>
      </c>
      <c r="DO210">
        <v>0</v>
      </c>
      <c r="DP210">
        <v>1</v>
      </c>
      <c r="DQ210">
        <v>0</v>
      </c>
      <c r="DR210">
        <v>0</v>
      </c>
      <c r="DS210">
        <v>0</v>
      </c>
    </row>
    <row r="211" spans="1:123" x14ac:dyDescent="0.25">
      <c r="A211" t="str">
        <f>"11/29/2023 20:17:16.913"</f>
        <v>11/29/2023 20:17:16.913</v>
      </c>
      <c r="C211" t="str">
        <f t="shared" si="32"/>
        <v>FFDF53C0</v>
      </c>
      <c r="D211" t="s">
        <v>138</v>
      </c>
      <c r="E211">
        <v>3</v>
      </c>
      <c r="H211">
        <v>160</v>
      </c>
      <c r="I211" t="s">
        <v>124</v>
      </c>
      <c r="J211" t="s">
        <v>139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"20:17:16.578"</f>
        <v>20:17:16.578</v>
      </c>
      <c r="T211" t="str">
        <f>"20:17:12.678"</f>
        <v>20:17:12.678</v>
      </c>
      <c r="U211" t="str">
        <f t="shared" si="29"/>
        <v>AA0632</v>
      </c>
      <c r="V211">
        <v>0</v>
      </c>
      <c r="W211">
        <v>0</v>
      </c>
      <c r="X211">
        <v>2</v>
      </c>
      <c r="Y211">
        <v>0</v>
      </c>
      <c r="AA211">
        <v>0</v>
      </c>
      <c r="AB211">
        <v>9</v>
      </c>
      <c r="AC211">
        <v>3</v>
      </c>
      <c r="AD211">
        <v>0</v>
      </c>
      <c r="AE211">
        <v>10</v>
      </c>
      <c r="AF211" t="s">
        <v>126</v>
      </c>
      <c r="AG211">
        <v>0</v>
      </c>
      <c r="AH211">
        <v>0</v>
      </c>
      <c r="AI211">
        <v>2</v>
      </c>
      <c r="AJ211">
        <v>0</v>
      </c>
      <c r="AK211" t="s">
        <v>242</v>
      </c>
      <c r="AL211">
        <v>31.962211</v>
      </c>
      <c r="AM211" t="s">
        <v>243</v>
      </c>
      <c r="AN211">
        <v>-101.16009200000001</v>
      </c>
      <c r="AQ211" t="s">
        <v>129</v>
      </c>
      <c r="AR211">
        <v>-75</v>
      </c>
      <c r="AS211">
        <v>-3</v>
      </c>
      <c r="AT211">
        <v>0</v>
      </c>
      <c r="BB211" t="str">
        <f t="shared" si="30"/>
        <v>1200</v>
      </c>
      <c r="BC211">
        <v>1</v>
      </c>
      <c r="BD211" t="str">
        <f t="shared" si="34"/>
        <v xml:space="preserve">N745MB  </v>
      </c>
      <c r="BE211">
        <v>1</v>
      </c>
      <c r="BG211">
        <v>0</v>
      </c>
      <c r="BH211">
        <v>0</v>
      </c>
      <c r="BI211">
        <v>0</v>
      </c>
      <c r="BL211" t="s">
        <v>130</v>
      </c>
      <c r="BM211">
        <v>1</v>
      </c>
      <c r="BN211">
        <v>0</v>
      </c>
      <c r="BO211">
        <v>0</v>
      </c>
      <c r="BP211">
        <v>0</v>
      </c>
      <c r="BT211">
        <v>0</v>
      </c>
      <c r="BU211">
        <v>0</v>
      </c>
      <c r="CE211" t="str">
        <f>"20:17:16.586"</f>
        <v>20:17:16.586</v>
      </c>
      <c r="CF211">
        <v>585809586</v>
      </c>
      <c r="CS211">
        <v>0</v>
      </c>
      <c r="CT211">
        <v>2</v>
      </c>
      <c r="CU211">
        <v>0</v>
      </c>
      <c r="CV211">
        <v>2</v>
      </c>
      <c r="CW211">
        <v>0</v>
      </c>
      <c r="CX211">
        <v>2</v>
      </c>
      <c r="CY211">
        <v>7</v>
      </c>
      <c r="CZ211" t="s">
        <v>131</v>
      </c>
      <c r="DA211">
        <v>483</v>
      </c>
      <c r="DB211">
        <v>1</v>
      </c>
      <c r="DC211" t="s">
        <v>169</v>
      </c>
      <c r="DD211" t="s">
        <v>170</v>
      </c>
      <c r="DG211">
        <v>7299819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1</v>
      </c>
      <c r="DQ211">
        <v>0</v>
      </c>
      <c r="DR211">
        <v>0</v>
      </c>
      <c r="DS211">
        <v>0</v>
      </c>
    </row>
    <row r="212" spans="1:123" x14ac:dyDescent="0.25">
      <c r="A212" t="str">
        <f>"11/29/2023 20:17:16.913"</f>
        <v>11/29/2023 20:17:16.913</v>
      </c>
      <c r="C212" t="str">
        <f t="shared" si="32"/>
        <v>FFDF53C0</v>
      </c>
      <c r="D212" t="s">
        <v>123</v>
      </c>
      <c r="E212">
        <v>14</v>
      </c>
      <c r="F212">
        <v>1014</v>
      </c>
      <c r="G212" t="s">
        <v>124</v>
      </c>
      <c r="J212" t="s">
        <v>125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"20:17:16.578"</f>
        <v>20:17:16.578</v>
      </c>
      <c r="T212" t="str">
        <f>"20:17:12.678"</f>
        <v>20:17:12.678</v>
      </c>
      <c r="U212" t="str">
        <f t="shared" si="29"/>
        <v>AA0632</v>
      </c>
      <c r="V212">
        <v>0</v>
      </c>
      <c r="W212">
        <v>0</v>
      </c>
      <c r="X212">
        <v>2</v>
      </c>
      <c r="Y212">
        <v>0</v>
      </c>
      <c r="AA212">
        <v>0</v>
      </c>
      <c r="AB212">
        <v>9</v>
      </c>
      <c r="AC212">
        <v>3</v>
      </c>
      <c r="AD212">
        <v>0</v>
      </c>
      <c r="AE212">
        <v>10</v>
      </c>
      <c r="AF212" t="s">
        <v>126</v>
      </c>
      <c r="AG212">
        <v>0</v>
      </c>
      <c r="AH212">
        <v>0</v>
      </c>
      <c r="AI212">
        <v>2</v>
      </c>
      <c r="AJ212">
        <v>0</v>
      </c>
      <c r="AK212" t="s">
        <v>242</v>
      </c>
      <c r="AL212">
        <v>31.962211</v>
      </c>
      <c r="AM212" t="s">
        <v>243</v>
      </c>
      <c r="AN212">
        <v>-101.16009200000001</v>
      </c>
      <c r="AQ212" t="s">
        <v>129</v>
      </c>
      <c r="AR212">
        <v>-75</v>
      </c>
      <c r="AS212">
        <v>-3</v>
      </c>
      <c r="AT212">
        <v>0</v>
      </c>
      <c r="BB212" t="str">
        <f t="shared" si="30"/>
        <v>1200</v>
      </c>
      <c r="BC212">
        <v>1</v>
      </c>
      <c r="BD212" t="str">
        <f t="shared" si="34"/>
        <v xml:space="preserve">N745MB  </v>
      </c>
      <c r="BE212">
        <v>1</v>
      </c>
      <c r="BG212">
        <v>0</v>
      </c>
      <c r="BH212">
        <v>0</v>
      </c>
      <c r="BI212">
        <v>0</v>
      </c>
      <c r="BL212" t="s">
        <v>130</v>
      </c>
      <c r="BM212">
        <v>1</v>
      </c>
      <c r="BN212">
        <v>0</v>
      </c>
      <c r="BO212">
        <v>0</v>
      </c>
      <c r="BP212">
        <v>0</v>
      </c>
      <c r="BT212">
        <v>0</v>
      </c>
      <c r="BU212">
        <v>0</v>
      </c>
      <c r="CE212" t="str">
        <f>"20:17:16.586"</f>
        <v>20:17:16.586</v>
      </c>
      <c r="CF212">
        <v>585809586</v>
      </c>
      <c r="CS212">
        <v>0</v>
      </c>
      <c r="CT212">
        <v>2</v>
      </c>
      <c r="CU212">
        <v>0</v>
      </c>
      <c r="CV212">
        <v>2</v>
      </c>
      <c r="CW212">
        <v>0</v>
      </c>
      <c r="CX212">
        <v>2</v>
      </c>
      <c r="CY212">
        <v>7</v>
      </c>
      <c r="CZ212" t="s">
        <v>131</v>
      </c>
      <c r="DA212">
        <v>483</v>
      </c>
      <c r="DB212">
        <v>1</v>
      </c>
      <c r="DC212" t="s">
        <v>169</v>
      </c>
      <c r="DD212" t="s">
        <v>170</v>
      </c>
      <c r="DG212">
        <v>7299819</v>
      </c>
      <c r="DI212">
        <v>0</v>
      </c>
      <c r="DJ212">
        <v>0</v>
      </c>
      <c r="DK212">
        <v>1</v>
      </c>
      <c r="DL212">
        <v>0</v>
      </c>
      <c r="DM212">
        <v>0</v>
      </c>
      <c r="DN212">
        <v>0</v>
      </c>
      <c r="DO212">
        <v>0</v>
      </c>
      <c r="DP212">
        <v>1</v>
      </c>
      <c r="DQ212">
        <v>0</v>
      </c>
      <c r="DR212">
        <v>0</v>
      </c>
      <c r="DS212">
        <v>0</v>
      </c>
    </row>
    <row r="213" spans="1:123" x14ac:dyDescent="0.25">
      <c r="A213" t="str">
        <f>"11/29/2023 20:17:19.601"</f>
        <v>11/29/2023 20:17:19.601</v>
      </c>
      <c r="C213" t="str">
        <f t="shared" si="32"/>
        <v>FFDF53C0</v>
      </c>
      <c r="D213" t="s">
        <v>123</v>
      </c>
      <c r="E213">
        <v>1</v>
      </c>
      <c r="F213">
        <v>1001</v>
      </c>
      <c r="G213" t="s">
        <v>134</v>
      </c>
      <c r="J213" t="s">
        <v>125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"20:17:19.055"</f>
        <v>20:17:19.055</v>
      </c>
      <c r="T213" t="str">
        <f>"20:17:13.255"</f>
        <v>20:17:13.255</v>
      </c>
      <c r="U213" t="str">
        <f t="shared" si="29"/>
        <v>AA0632</v>
      </c>
      <c r="V213">
        <v>0</v>
      </c>
      <c r="W213">
        <v>0</v>
      </c>
      <c r="X213">
        <v>2</v>
      </c>
      <c r="Y213">
        <v>0</v>
      </c>
      <c r="AA213">
        <v>0</v>
      </c>
      <c r="AB213">
        <v>9</v>
      </c>
      <c r="AC213">
        <v>3</v>
      </c>
      <c r="AD213">
        <v>0</v>
      </c>
      <c r="AE213">
        <v>10</v>
      </c>
      <c r="AF213" t="s">
        <v>126</v>
      </c>
      <c r="AG213">
        <v>0</v>
      </c>
      <c r="AH213">
        <v>0</v>
      </c>
      <c r="AI213">
        <v>2</v>
      </c>
      <c r="AJ213">
        <v>0</v>
      </c>
      <c r="AK213" t="s">
        <v>244</v>
      </c>
      <c r="AL213">
        <v>31.962167999999998</v>
      </c>
      <c r="AM213" t="s">
        <v>245</v>
      </c>
      <c r="AN213">
        <v>-101.161058</v>
      </c>
      <c r="AQ213" t="s">
        <v>129</v>
      </c>
      <c r="AR213">
        <v>-75</v>
      </c>
      <c r="AS213">
        <v>-3</v>
      </c>
      <c r="AT213">
        <v>0</v>
      </c>
      <c r="BB213" t="str">
        <f t="shared" si="30"/>
        <v>1200</v>
      </c>
      <c r="BC213">
        <v>1</v>
      </c>
      <c r="BD213" t="str">
        <f t="shared" si="34"/>
        <v xml:space="preserve">N745MB  </v>
      </c>
      <c r="BE213">
        <v>1</v>
      </c>
      <c r="BG213">
        <v>0</v>
      </c>
      <c r="BH213">
        <v>0</v>
      </c>
      <c r="BI213">
        <v>0</v>
      </c>
      <c r="BL213" t="s">
        <v>130</v>
      </c>
      <c r="BM213">
        <v>1</v>
      </c>
      <c r="BN213">
        <v>0</v>
      </c>
      <c r="BO213">
        <v>0</v>
      </c>
      <c r="BP213">
        <v>0</v>
      </c>
      <c r="BT213">
        <v>0</v>
      </c>
      <c r="BU213">
        <v>0</v>
      </c>
      <c r="CE213" t="str">
        <f>"20:17:19.056"</f>
        <v>20:17:19.056</v>
      </c>
      <c r="CF213">
        <v>55624543</v>
      </c>
      <c r="CS213">
        <v>0</v>
      </c>
      <c r="CT213">
        <v>2</v>
      </c>
      <c r="CU213">
        <v>0</v>
      </c>
      <c r="CV213">
        <v>2</v>
      </c>
      <c r="CW213">
        <v>0</v>
      </c>
      <c r="CX213">
        <v>1</v>
      </c>
      <c r="CY213">
        <v>7</v>
      </c>
      <c r="CZ213" t="s">
        <v>131</v>
      </c>
      <c r="DA213">
        <v>116</v>
      </c>
      <c r="DB213">
        <v>3</v>
      </c>
      <c r="DC213" t="s">
        <v>132</v>
      </c>
      <c r="DD213" t="s">
        <v>133</v>
      </c>
      <c r="DG213">
        <v>8127741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1</v>
      </c>
      <c r="DQ213">
        <v>0</v>
      </c>
      <c r="DR213">
        <v>0</v>
      </c>
      <c r="DS213">
        <v>0</v>
      </c>
    </row>
    <row r="214" spans="1:123" x14ac:dyDescent="0.25">
      <c r="A214" t="str">
        <f>"11/29/2023 20:17:19.601"</f>
        <v>11/29/2023 20:17:19.601</v>
      </c>
      <c r="C214" t="str">
        <f t="shared" si="32"/>
        <v>FFDF53C0</v>
      </c>
      <c r="D214" t="s">
        <v>138</v>
      </c>
      <c r="E214">
        <v>3</v>
      </c>
      <c r="H214">
        <v>160</v>
      </c>
      <c r="I214" t="s">
        <v>124</v>
      </c>
      <c r="J214" t="s">
        <v>139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"20:17:19.055"</f>
        <v>20:17:19.055</v>
      </c>
      <c r="T214" t="str">
        <f>"20:17:13.255"</f>
        <v>20:17:13.255</v>
      </c>
      <c r="U214" t="str">
        <f t="shared" si="29"/>
        <v>AA0632</v>
      </c>
      <c r="V214">
        <v>0</v>
      </c>
      <c r="W214">
        <v>0</v>
      </c>
      <c r="X214">
        <v>2</v>
      </c>
      <c r="Y214">
        <v>0</v>
      </c>
      <c r="AA214">
        <v>0</v>
      </c>
      <c r="AB214">
        <v>9</v>
      </c>
      <c r="AC214">
        <v>3</v>
      </c>
      <c r="AD214">
        <v>0</v>
      </c>
      <c r="AE214">
        <v>10</v>
      </c>
      <c r="AF214" t="s">
        <v>126</v>
      </c>
      <c r="AG214">
        <v>0</v>
      </c>
      <c r="AH214">
        <v>0</v>
      </c>
      <c r="AI214">
        <v>2</v>
      </c>
      <c r="AJ214">
        <v>0</v>
      </c>
      <c r="AK214" t="s">
        <v>244</v>
      </c>
      <c r="AL214">
        <v>31.962167999999998</v>
      </c>
      <c r="AM214" t="s">
        <v>245</v>
      </c>
      <c r="AN214">
        <v>-101.161058</v>
      </c>
      <c r="AQ214" t="s">
        <v>129</v>
      </c>
      <c r="AR214">
        <v>-75</v>
      </c>
      <c r="AS214">
        <v>-3</v>
      </c>
      <c r="AT214">
        <v>0</v>
      </c>
      <c r="BB214" t="str">
        <f t="shared" si="30"/>
        <v>1200</v>
      </c>
      <c r="BC214">
        <v>1</v>
      </c>
      <c r="BD214" t="str">
        <f t="shared" si="34"/>
        <v xml:space="preserve">N745MB  </v>
      </c>
      <c r="BE214">
        <v>1</v>
      </c>
      <c r="BG214">
        <v>0</v>
      </c>
      <c r="BH214">
        <v>0</v>
      </c>
      <c r="BI214">
        <v>0</v>
      </c>
      <c r="BL214" t="s">
        <v>130</v>
      </c>
      <c r="BM214">
        <v>1</v>
      </c>
      <c r="BN214">
        <v>0</v>
      </c>
      <c r="BO214">
        <v>0</v>
      </c>
      <c r="BP214">
        <v>0</v>
      </c>
      <c r="BT214">
        <v>0</v>
      </c>
      <c r="BU214">
        <v>0</v>
      </c>
      <c r="CE214" t="str">
        <f>"20:17:19.056"</f>
        <v>20:17:19.056</v>
      </c>
      <c r="CF214">
        <v>55624543</v>
      </c>
      <c r="CS214">
        <v>0</v>
      </c>
      <c r="CT214">
        <v>2</v>
      </c>
      <c r="CU214">
        <v>0</v>
      </c>
      <c r="CV214">
        <v>2</v>
      </c>
      <c r="CW214">
        <v>0</v>
      </c>
      <c r="CX214">
        <v>1</v>
      </c>
      <c r="CY214">
        <v>7</v>
      </c>
      <c r="CZ214" t="s">
        <v>131</v>
      </c>
      <c r="DA214">
        <v>116</v>
      </c>
      <c r="DB214">
        <v>3</v>
      </c>
      <c r="DC214" t="s">
        <v>132</v>
      </c>
      <c r="DD214" t="s">
        <v>133</v>
      </c>
      <c r="DG214">
        <v>8127741</v>
      </c>
      <c r="DI214">
        <v>0</v>
      </c>
      <c r="DJ214">
        <v>0</v>
      </c>
      <c r="DK214">
        <v>1</v>
      </c>
      <c r="DL214">
        <v>0</v>
      </c>
      <c r="DM214">
        <v>0</v>
      </c>
      <c r="DN214">
        <v>0</v>
      </c>
      <c r="DO214">
        <v>0</v>
      </c>
      <c r="DP214">
        <v>1</v>
      </c>
      <c r="DQ214">
        <v>0</v>
      </c>
      <c r="DR214">
        <v>0</v>
      </c>
      <c r="DS214">
        <v>0</v>
      </c>
    </row>
    <row r="215" spans="1:123" x14ac:dyDescent="0.25">
      <c r="A215" t="str">
        <f>"11/29/2023 20:17:19.601"</f>
        <v>11/29/2023 20:17:19.601</v>
      </c>
      <c r="C215" t="str">
        <f t="shared" si="32"/>
        <v>FFDF53C0</v>
      </c>
      <c r="D215" t="s">
        <v>135</v>
      </c>
      <c r="E215">
        <v>31</v>
      </c>
      <c r="H215">
        <v>285</v>
      </c>
      <c r="I215" t="s">
        <v>136</v>
      </c>
      <c r="J215" t="s">
        <v>137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"20:17:19.055"</f>
        <v>20:17:19.055</v>
      </c>
      <c r="T215" t="str">
        <f>"20:17:13.255"</f>
        <v>20:17:13.255</v>
      </c>
      <c r="U215" t="str">
        <f t="shared" si="29"/>
        <v>AA0632</v>
      </c>
      <c r="V215">
        <v>0</v>
      </c>
      <c r="W215">
        <v>0</v>
      </c>
      <c r="X215">
        <v>2</v>
      </c>
      <c r="Y215">
        <v>0</v>
      </c>
      <c r="AA215">
        <v>0</v>
      </c>
      <c r="AB215">
        <v>9</v>
      </c>
      <c r="AC215">
        <v>3</v>
      </c>
      <c r="AD215">
        <v>0</v>
      </c>
      <c r="AE215">
        <v>10</v>
      </c>
      <c r="AF215" t="s">
        <v>126</v>
      </c>
      <c r="AG215">
        <v>0</v>
      </c>
      <c r="AH215">
        <v>0</v>
      </c>
      <c r="AI215">
        <v>2</v>
      </c>
      <c r="AJ215">
        <v>0</v>
      </c>
      <c r="AK215" t="s">
        <v>244</v>
      </c>
      <c r="AL215">
        <v>31.962167999999998</v>
      </c>
      <c r="AM215" t="s">
        <v>245</v>
      </c>
      <c r="AN215">
        <v>-101.161058</v>
      </c>
      <c r="AQ215" t="s">
        <v>129</v>
      </c>
      <c r="AR215">
        <v>-75</v>
      </c>
      <c r="AS215">
        <v>-3</v>
      </c>
      <c r="AT215">
        <v>0</v>
      </c>
      <c r="BB215" t="str">
        <f t="shared" si="30"/>
        <v>1200</v>
      </c>
      <c r="BC215">
        <v>1</v>
      </c>
      <c r="BD215" t="str">
        <f t="shared" si="34"/>
        <v xml:space="preserve">N745MB  </v>
      </c>
      <c r="BE215">
        <v>1</v>
      </c>
      <c r="BG215">
        <v>0</v>
      </c>
      <c r="BH215">
        <v>0</v>
      </c>
      <c r="BI215">
        <v>0</v>
      </c>
      <c r="BL215" t="s">
        <v>130</v>
      </c>
      <c r="BM215">
        <v>1</v>
      </c>
      <c r="BN215">
        <v>0</v>
      </c>
      <c r="BO215">
        <v>0</v>
      </c>
      <c r="BP215">
        <v>0</v>
      </c>
      <c r="BT215">
        <v>0</v>
      </c>
      <c r="BU215">
        <v>0</v>
      </c>
      <c r="CE215" t="str">
        <f>"20:17:19.056"</f>
        <v>20:17:19.056</v>
      </c>
      <c r="CF215">
        <v>55624543</v>
      </c>
      <c r="CS215">
        <v>0</v>
      </c>
      <c r="CT215">
        <v>2</v>
      </c>
      <c r="CU215">
        <v>0</v>
      </c>
      <c r="CV215">
        <v>2</v>
      </c>
      <c r="CW215">
        <v>0</v>
      </c>
      <c r="CX215">
        <v>1</v>
      </c>
      <c r="CY215">
        <v>7</v>
      </c>
      <c r="CZ215" t="s">
        <v>131</v>
      </c>
      <c r="DA215">
        <v>116</v>
      </c>
      <c r="DB215">
        <v>3</v>
      </c>
      <c r="DC215" t="s">
        <v>132</v>
      </c>
      <c r="DD215" t="s">
        <v>133</v>
      </c>
      <c r="DG215">
        <v>8127741</v>
      </c>
      <c r="DI215">
        <v>0</v>
      </c>
      <c r="DJ215">
        <v>0</v>
      </c>
      <c r="DK215">
        <v>1</v>
      </c>
      <c r="DL215">
        <v>0</v>
      </c>
      <c r="DM215">
        <v>0</v>
      </c>
      <c r="DN215">
        <v>0</v>
      </c>
      <c r="DO215">
        <v>0</v>
      </c>
      <c r="DP215">
        <v>1</v>
      </c>
      <c r="DQ215">
        <v>0</v>
      </c>
      <c r="DR215">
        <v>0</v>
      </c>
      <c r="DS215">
        <v>0</v>
      </c>
    </row>
    <row r="216" spans="1:123" x14ac:dyDescent="0.25">
      <c r="A216" t="str">
        <f>"11/29/2023 20:17:19.601"</f>
        <v>11/29/2023 20:17:19.601</v>
      </c>
      <c r="C216" t="str">
        <f t="shared" si="32"/>
        <v>FFDF53C0</v>
      </c>
      <c r="D216" t="s">
        <v>123</v>
      </c>
      <c r="E216">
        <v>14</v>
      </c>
      <c r="F216">
        <v>1014</v>
      </c>
      <c r="G216" t="s">
        <v>124</v>
      </c>
      <c r="J216" t="s">
        <v>125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"20:17:19.055"</f>
        <v>20:17:19.055</v>
      </c>
      <c r="T216" t="str">
        <f>"20:17:13.255"</f>
        <v>20:17:13.255</v>
      </c>
      <c r="U216" t="str">
        <f t="shared" si="29"/>
        <v>AA0632</v>
      </c>
      <c r="V216">
        <v>0</v>
      </c>
      <c r="W216">
        <v>0</v>
      </c>
      <c r="X216">
        <v>2</v>
      </c>
      <c r="Y216">
        <v>0</v>
      </c>
      <c r="AA216">
        <v>0</v>
      </c>
      <c r="AB216">
        <v>9</v>
      </c>
      <c r="AC216">
        <v>3</v>
      </c>
      <c r="AD216">
        <v>0</v>
      </c>
      <c r="AE216">
        <v>10</v>
      </c>
      <c r="AF216" t="s">
        <v>126</v>
      </c>
      <c r="AG216">
        <v>0</v>
      </c>
      <c r="AH216">
        <v>0</v>
      </c>
      <c r="AI216">
        <v>2</v>
      </c>
      <c r="AJ216">
        <v>0</v>
      </c>
      <c r="AK216" t="s">
        <v>244</v>
      </c>
      <c r="AL216">
        <v>31.962167999999998</v>
      </c>
      <c r="AM216" t="s">
        <v>245</v>
      </c>
      <c r="AN216">
        <v>-101.161058</v>
      </c>
      <c r="AQ216" t="s">
        <v>129</v>
      </c>
      <c r="AR216">
        <v>-75</v>
      </c>
      <c r="AS216">
        <v>-3</v>
      </c>
      <c r="AT216">
        <v>0</v>
      </c>
      <c r="BB216" t="str">
        <f t="shared" si="30"/>
        <v>1200</v>
      </c>
      <c r="BC216">
        <v>1</v>
      </c>
      <c r="BD216" t="str">
        <f t="shared" si="34"/>
        <v xml:space="preserve">N745MB  </v>
      </c>
      <c r="BE216">
        <v>1</v>
      </c>
      <c r="BG216">
        <v>0</v>
      </c>
      <c r="BH216">
        <v>0</v>
      </c>
      <c r="BI216">
        <v>0</v>
      </c>
      <c r="BL216" t="s">
        <v>130</v>
      </c>
      <c r="BM216">
        <v>1</v>
      </c>
      <c r="BN216">
        <v>0</v>
      </c>
      <c r="BO216">
        <v>0</v>
      </c>
      <c r="BP216">
        <v>0</v>
      </c>
      <c r="BT216">
        <v>0</v>
      </c>
      <c r="BU216">
        <v>0</v>
      </c>
      <c r="CE216" t="str">
        <f>"20:17:19.056"</f>
        <v>20:17:19.056</v>
      </c>
      <c r="CF216">
        <v>55624543</v>
      </c>
      <c r="CS216">
        <v>0</v>
      </c>
      <c r="CT216">
        <v>2</v>
      </c>
      <c r="CU216">
        <v>0</v>
      </c>
      <c r="CV216">
        <v>2</v>
      </c>
      <c r="CW216">
        <v>0</v>
      </c>
      <c r="CX216">
        <v>1</v>
      </c>
      <c r="CY216">
        <v>7</v>
      </c>
      <c r="CZ216" t="s">
        <v>131</v>
      </c>
      <c r="DA216">
        <v>116</v>
      </c>
      <c r="DB216">
        <v>3</v>
      </c>
      <c r="DC216" t="s">
        <v>132</v>
      </c>
      <c r="DD216" t="s">
        <v>133</v>
      </c>
      <c r="DG216">
        <v>8127741</v>
      </c>
      <c r="DI216">
        <v>0</v>
      </c>
      <c r="DJ216">
        <v>0</v>
      </c>
      <c r="DK216">
        <v>1</v>
      </c>
      <c r="DL216">
        <v>0</v>
      </c>
      <c r="DM216">
        <v>0</v>
      </c>
      <c r="DN216">
        <v>0</v>
      </c>
      <c r="DO216">
        <v>0</v>
      </c>
      <c r="DP216">
        <v>1</v>
      </c>
      <c r="DQ216">
        <v>0</v>
      </c>
      <c r="DR216">
        <v>0</v>
      </c>
      <c r="DS216">
        <v>0</v>
      </c>
    </row>
    <row r="217" spans="1:123" x14ac:dyDescent="0.25">
      <c r="A217" t="str">
        <f>"11/29/2023 20:17:20.726"</f>
        <v>11/29/2023 20:17:20.726</v>
      </c>
      <c r="C217" t="str">
        <f t="shared" si="32"/>
        <v>FFDF53C0</v>
      </c>
      <c r="D217" t="s">
        <v>123</v>
      </c>
      <c r="E217">
        <v>14</v>
      </c>
      <c r="F217">
        <v>1014</v>
      </c>
      <c r="G217" t="s">
        <v>124</v>
      </c>
      <c r="J217" t="s">
        <v>125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"20:17:20.102"</f>
        <v>20:17:20.102</v>
      </c>
      <c r="T217" t="str">
        <f>"20:17:13.202"</f>
        <v>20:17:13.202</v>
      </c>
      <c r="U217" t="str">
        <f t="shared" si="29"/>
        <v>AA0632</v>
      </c>
      <c r="V217">
        <v>0</v>
      </c>
      <c r="W217">
        <v>0</v>
      </c>
      <c r="X217">
        <v>2</v>
      </c>
      <c r="Y217">
        <v>0</v>
      </c>
      <c r="AA217">
        <v>0</v>
      </c>
      <c r="AB217">
        <v>9</v>
      </c>
      <c r="AC217">
        <v>3</v>
      </c>
      <c r="AD217">
        <v>0</v>
      </c>
      <c r="AE217">
        <v>10</v>
      </c>
      <c r="AF217" t="s">
        <v>126</v>
      </c>
      <c r="AG217">
        <v>0</v>
      </c>
      <c r="AH217">
        <v>0</v>
      </c>
      <c r="AI217">
        <v>2</v>
      </c>
      <c r="AJ217">
        <v>0</v>
      </c>
      <c r="AK217" t="s">
        <v>233</v>
      </c>
      <c r="AL217">
        <v>31.962104</v>
      </c>
      <c r="AM217" t="s">
        <v>246</v>
      </c>
      <c r="AN217">
        <v>-101.161444</v>
      </c>
      <c r="AQ217" t="s">
        <v>129</v>
      </c>
      <c r="AR217">
        <v>-75</v>
      </c>
      <c r="AS217">
        <v>-3</v>
      </c>
      <c r="AT217">
        <v>0</v>
      </c>
      <c r="BB217" t="str">
        <f t="shared" si="30"/>
        <v>1200</v>
      </c>
      <c r="BC217">
        <v>1</v>
      </c>
      <c r="BD217" t="str">
        <f t="shared" si="34"/>
        <v xml:space="preserve">N745MB  </v>
      </c>
      <c r="BE217">
        <v>1</v>
      </c>
      <c r="BG217">
        <v>0</v>
      </c>
      <c r="BH217">
        <v>0</v>
      </c>
      <c r="BI217">
        <v>0</v>
      </c>
      <c r="BL217" t="s">
        <v>130</v>
      </c>
      <c r="BM217">
        <v>1</v>
      </c>
      <c r="BN217">
        <v>0</v>
      </c>
      <c r="BO217">
        <v>0</v>
      </c>
      <c r="BP217">
        <v>0</v>
      </c>
      <c r="BT217">
        <v>0</v>
      </c>
      <c r="BU217">
        <v>0</v>
      </c>
      <c r="CE217" t="str">
        <f>"20:17:20.106"</f>
        <v>20:17:20.106</v>
      </c>
      <c r="CF217">
        <v>105550095</v>
      </c>
      <c r="CS217">
        <v>0</v>
      </c>
      <c r="CT217">
        <v>2</v>
      </c>
      <c r="CU217">
        <v>0</v>
      </c>
      <c r="CV217">
        <v>2</v>
      </c>
      <c r="CW217">
        <v>0</v>
      </c>
      <c r="CX217">
        <v>1</v>
      </c>
      <c r="CY217">
        <v>7</v>
      </c>
      <c r="CZ217" t="s">
        <v>131</v>
      </c>
      <c r="DA217">
        <v>116</v>
      </c>
      <c r="DB217">
        <v>3</v>
      </c>
      <c r="DC217" t="s">
        <v>132</v>
      </c>
      <c r="DD217" t="s">
        <v>133</v>
      </c>
      <c r="DG217">
        <v>8128363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1</v>
      </c>
      <c r="DQ217">
        <v>0</v>
      </c>
      <c r="DR217">
        <v>0</v>
      </c>
      <c r="DS217">
        <v>0</v>
      </c>
    </row>
    <row r="218" spans="1:123" x14ac:dyDescent="0.25">
      <c r="A218" t="str">
        <f>"11/29/2023 20:17:20.726"</f>
        <v>11/29/2023 20:17:20.726</v>
      </c>
      <c r="C218" t="str">
        <f t="shared" si="32"/>
        <v>FFDF53C0</v>
      </c>
      <c r="D218" t="s">
        <v>135</v>
      </c>
      <c r="E218">
        <v>31</v>
      </c>
      <c r="H218">
        <v>285</v>
      </c>
      <c r="I218" t="s">
        <v>136</v>
      </c>
      <c r="J218" t="s">
        <v>137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"20:17:20.102"</f>
        <v>20:17:20.102</v>
      </c>
      <c r="T218" t="str">
        <f>"20:17:13.202"</f>
        <v>20:17:13.202</v>
      </c>
      <c r="U218" t="str">
        <f t="shared" si="29"/>
        <v>AA0632</v>
      </c>
      <c r="V218">
        <v>0</v>
      </c>
      <c r="W218">
        <v>0</v>
      </c>
      <c r="X218">
        <v>2</v>
      </c>
      <c r="Y218">
        <v>0</v>
      </c>
      <c r="AA218">
        <v>0</v>
      </c>
      <c r="AB218">
        <v>9</v>
      </c>
      <c r="AC218">
        <v>3</v>
      </c>
      <c r="AD218">
        <v>0</v>
      </c>
      <c r="AE218">
        <v>10</v>
      </c>
      <c r="AF218" t="s">
        <v>126</v>
      </c>
      <c r="AG218">
        <v>0</v>
      </c>
      <c r="AH218">
        <v>0</v>
      </c>
      <c r="AI218">
        <v>2</v>
      </c>
      <c r="AJ218">
        <v>0</v>
      </c>
      <c r="AK218" t="s">
        <v>233</v>
      </c>
      <c r="AL218">
        <v>31.962104</v>
      </c>
      <c r="AM218" t="s">
        <v>246</v>
      </c>
      <c r="AN218">
        <v>-101.161444</v>
      </c>
      <c r="AQ218" t="s">
        <v>129</v>
      </c>
      <c r="AR218">
        <v>-75</v>
      </c>
      <c r="AS218">
        <v>-3</v>
      </c>
      <c r="AT218">
        <v>0</v>
      </c>
      <c r="BB218" t="str">
        <f t="shared" si="30"/>
        <v>1200</v>
      </c>
      <c r="BC218">
        <v>1</v>
      </c>
      <c r="BD218" t="str">
        <f t="shared" si="34"/>
        <v xml:space="preserve">N745MB  </v>
      </c>
      <c r="BE218">
        <v>1</v>
      </c>
      <c r="BG218">
        <v>0</v>
      </c>
      <c r="BH218">
        <v>0</v>
      </c>
      <c r="BI218">
        <v>0</v>
      </c>
      <c r="BL218" t="s">
        <v>130</v>
      </c>
      <c r="BM218">
        <v>1</v>
      </c>
      <c r="BN218">
        <v>0</v>
      </c>
      <c r="BO218">
        <v>0</v>
      </c>
      <c r="BP218">
        <v>0</v>
      </c>
      <c r="BT218">
        <v>0</v>
      </c>
      <c r="BU218">
        <v>0</v>
      </c>
      <c r="CE218" t="str">
        <f>"20:17:20.106"</f>
        <v>20:17:20.106</v>
      </c>
      <c r="CF218">
        <v>105550095</v>
      </c>
      <c r="CS218">
        <v>0</v>
      </c>
      <c r="CT218">
        <v>2</v>
      </c>
      <c r="CU218">
        <v>0</v>
      </c>
      <c r="CV218">
        <v>2</v>
      </c>
      <c r="CW218">
        <v>0</v>
      </c>
      <c r="CX218">
        <v>1</v>
      </c>
      <c r="CY218">
        <v>7</v>
      </c>
      <c r="CZ218" t="s">
        <v>131</v>
      </c>
      <c r="DA218">
        <v>116</v>
      </c>
      <c r="DB218">
        <v>3</v>
      </c>
      <c r="DC218" t="s">
        <v>132</v>
      </c>
      <c r="DD218" t="s">
        <v>133</v>
      </c>
      <c r="DG218">
        <v>8128363</v>
      </c>
      <c r="DI218">
        <v>0</v>
      </c>
      <c r="DJ218">
        <v>0</v>
      </c>
      <c r="DK218">
        <v>1</v>
      </c>
      <c r="DL218">
        <v>0</v>
      </c>
      <c r="DM218">
        <v>0</v>
      </c>
      <c r="DN218">
        <v>0</v>
      </c>
      <c r="DO218">
        <v>0</v>
      </c>
      <c r="DP218">
        <v>1</v>
      </c>
      <c r="DQ218">
        <v>0</v>
      </c>
      <c r="DR218">
        <v>0</v>
      </c>
      <c r="DS218">
        <v>0</v>
      </c>
    </row>
    <row r="219" spans="1:123" x14ac:dyDescent="0.25">
      <c r="A219" t="str">
        <f>"11/29/2023 20:17:21.866"</f>
        <v>11/29/2023 20:17:21.866</v>
      </c>
      <c r="C219" t="str">
        <f t="shared" si="32"/>
        <v>FFDF53C0</v>
      </c>
      <c r="D219" t="s">
        <v>138</v>
      </c>
      <c r="E219">
        <v>3</v>
      </c>
      <c r="H219">
        <v>160</v>
      </c>
      <c r="I219" t="s">
        <v>124</v>
      </c>
      <c r="J219" t="s">
        <v>139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"20:17:21.172"</f>
        <v>20:17:21.172</v>
      </c>
      <c r="T219" t="str">
        <f>"20:17:13.272"</f>
        <v>20:17:13.272</v>
      </c>
      <c r="U219" t="str">
        <f t="shared" si="29"/>
        <v>AA0632</v>
      </c>
      <c r="V219">
        <v>0</v>
      </c>
      <c r="W219">
        <v>0</v>
      </c>
      <c r="X219">
        <v>2</v>
      </c>
      <c r="Y219">
        <v>0</v>
      </c>
      <c r="AA219">
        <v>0</v>
      </c>
      <c r="AB219">
        <v>9</v>
      </c>
      <c r="AC219">
        <v>3</v>
      </c>
      <c r="AD219">
        <v>0</v>
      </c>
      <c r="AE219">
        <v>10</v>
      </c>
      <c r="AF219" t="s">
        <v>126</v>
      </c>
      <c r="AG219">
        <v>0</v>
      </c>
      <c r="AH219">
        <v>0</v>
      </c>
      <c r="AI219">
        <v>2</v>
      </c>
      <c r="AJ219">
        <v>0</v>
      </c>
      <c r="AK219" t="s">
        <v>247</v>
      </c>
      <c r="AL219">
        <v>31.962125</v>
      </c>
      <c r="AM219" t="s">
        <v>248</v>
      </c>
      <c r="AN219">
        <v>-101.161766</v>
      </c>
      <c r="AQ219" t="s">
        <v>129</v>
      </c>
      <c r="AR219">
        <v>-75</v>
      </c>
      <c r="AS219">
        <v>-3</v>
      </c>
      <c r="AT219">
        <v>0</v>
      </c>
      <c r="BB219" t="str">
        <f t="shared" si="30"/>
        <v>1200</v>
      </c>
      <c r="BC219">
        <v>1</v>
      </c>
      <c r="BD219" t="str">
        <f t="shared" si="34"/>
        <v xml:space="preserve">N745MB  </v>
      </c>
      <c r="BE219">
        <v>1</v>
      </c>
      <c r="BG219">
        <v>0</v>
      </c>
      <c r="BH219">
        <v>0</v>
      </c>
      <c r="BI219">
        <v>0</v>
      </c>
      <c r="BL219" t="s">
        <v>130</v>
      </c>
      <c r="BM219">
        <v>1</v>
      </c>
      <c r="BN219">
        <v>0</v>
      </c>
      <c r="BO219">
        <v>0</v>
      </c>
      <c r="BP219">
        <v>0</v>
      </c>
      <c r="BT219">
        <v>0</v>
      </c>
      <c r="BU219">
        <v>0</v>
      </c>
      <c r="CE219" t="str">
        <f>"20:17:21.175"</f>
        <v>20:17:21.175</v>
      </c>
      <c r="CF219">
        <v>175478942</v>
      </c>
      <c r="CS219">
        <v>0</v>
      </c>
      <c r="CT219">
        <v>2</v>
      </c>
      <c r="CU219">
        <v>0</v>
      </c>
      <c r="CV219">
        <v>2</v>
      </c>
      <c r="CW219">
        <v>0</v>
      </c>
      <c r="CX219">
        <v>1</v>
      </c>
      <c r="CY219">
        <v>7</v>
      </c>
      <c r="CZ219" t="s">
        <v>131</v>
      </c>
      <c r="DA219">
        <v>116</v>
      </c>
      <c r="DB219">
        <v>3</v>
      </c>
      <c r="DC219" t="s">
        <v>132</v>
      </c>
      <c r="DD219" t="s">
        <v>133</v>
      </c>
      <c r="DG219">
        <v>8128937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1</v>
      </c>
      <c r="DQ219">
        <v>0</v>
      </c>
      <c r="DR219">
        <v>0</v>
      </c>
      <c r="DS219">
        <v>0</v>
      </c>
    </row>
    <row r="220" spans="1:123" x14ac:dyDescent="0.25">
      <c r="A220" t="str">
        <f>"11/29/2023 20:17:21.866"</f>
        <v>11/29/2023 20:17:21.866</v>
      </c>
      <c r="C220" t="str">
        <f t="shared" si="32"/>
        <v>FFDF53C0</v>
      </c>
      <c r="D220" t="s">
        <v>123</v>
      </c>
      <c r="E220">
        <v>14</v>
      </c>
      <c r="F220">
        <v>1014</v>
      </c>
      <c r="G220" t="s">
        <v>124</v>
      </c>
      <c r="J220" t="s">
        <v>125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"20:17:21.172"</f>
        <v>20:17:21.172</v>
      </c>
      <c r="T220" t="str">
        <f>"20:17:13.272"</f>
        <v>20:17:13.272</v>
      </c>
      <c r="U220" t="str">
        <f t="shared" si="29"/>
        <v>AA0632</v>
      </c>
      <c r="V220">
        <v>0</v>
      </c>
      <c r="W220">
        <v>0</v>
      </c>
      <c r="X220">
        <v>2</v>
      </c>
      <c r="Y220">
        <v>0</v>
      </c>
      <c r="AA220">
        <v>0</v>
      </c>
      <c r="AB220">
        <v>9</v>
      </c>
      <c r="AC220">
        <v>3</v>
      </c>
      <c r="AD220">
        <v>0</v>
      </c>
      <c r="AE220">
        <v>10</v>
      </c>
      <c r="AF220" t="s">
        <v>126</v>
      </c>
      <c r="AG220">
        <v>0</v>
      </c>
      <c r="AH220">
        <v>0</v>
      </c>
      <c r="AI220">
        <v>2</v>
      </c>
      <c r="AJ220">
        <v>0</v>
      </c>
      <c r="AK220" t="s">
        <v>247</v>
      </c>
      <c r="AL220">
        <v>31.962125</v>
      </c>
      <c r="AM220" t="s">
        <v>248</v>
      </c>
      <c r="AN220">
        <v>-101.161766</v>
      </c>
      <c r="AQ220" t="s">
        <v>129</v>
      </c>
      <c r="AR220">
        <v>-75</v>
      </c>
      <c r="AS220">
        <v>-3</v>
      </c>
      <c r="AT220">
        <v>0</v>
      </c>
      <c r="BB220" t="str">
        <f t="shared" si="30"/>
        <v>1200</v>
      </c>
      <c r="BC220">
        <v>1</v>
      </c>
      <c r="BD220" t="str">
        <f t="shared" si="34"/>
        <v xml:space="preserve">N745MB  </v>
      </c>
      <c r="BE220">
        <v>1</v>
      </c>
      <c r="BG220">
        <v>0</v>
      </c>
      <c r="BH220">
        <v>0</v>
      </c>
      <c r="BI220">
        <v>0</v>
      </c>
      <c r="BL220" t="s">
        <v>130</v>
      </c>
      <c r="BM220">
        <v>1</v>
      </c>
      <c r="BN220">
        <v>0</v>
      </c>
      <c r="BO220">
        <v>0</v>
      </c>
      <c r="BP220">
        <v>0</v>
      </c>
      <c r="BT220">
        <v>0</v>
      </c>
      <c r="BU220">
        <v>0</v>
      </c>
      <c r="CE220" t="str">
        <f>"20:17:21.175"</f>
        <v>20:17:21.175</v>
      </c>
      <c r="CF220">
        <v>175478942</v>
      </c>
      <c r="CS220">
        <v>0</v>
      </c>
      <c r="CT220">
        <v>2</v>
      </c>
      <c r="CU220">
        <v>0</v>
      </c>
      <c r="CV220">
        <v>2</v>
      </c>
      <c r="CW220">
        <v>0</v>
      </c>
      <c r="CX220">
        <v>1</v>
      </c>
      <c r="CY220">
        <v>7</v>
      </c>
      <c r="CZ220" t="s">
        <v>131</v>
      </c>
      <c r="DA220">
        <v>116</v>
      </c>
      <c r="DB220">
        <v>3</v>
      </c>
      <c r="DC220" t="s">
        <v>132</v>
      </c>
      <c r="DD220" t="s">
        <v>133</v>
      </c>
      <c r="DG220">
        <v>8128937</v>
      </c>
      <c r="DI220">
        <v>0</v>
      </c>
      <c r="DJ220">
        <v>0</v>
      </c>
      <c r="DK220">
        <v>1</v>
      </c>
      <c r="DL220">
        <v>0</v>
      </c>
      <c r="DM220">
        <v>0</v>
      </c>
      <c r="DN220">
        <v>0</v>
      </c>
      <c r="DO220">
        <v>0</v>
      </c>
      <c r="DP220">
        <v>1</v>
      </c>
      <c r="DQ220">
        <v>0</v>
      </c>
      <c r="DR220">
        <v>0</v>
      </c>
      <c r="DS220">
        <v>0</v>
      </c>
    </row>
    <row r="221" spans="1:123" x14ac:dyDescent="0.25">
      <c r="A221" t="str">
        <f>"11/29/2023 20:17:21.866"</f>
        <v>11/29/2023 20:17:21.866</v>
      </c>
      <c r="C221" t="str">
        <f t="shared" si="32"/>
        <v>FFDF53C0</v>
      </c>
      <c r="D221" t="s">
        <v>135</v>
      </c>
      <c r="E221">
        <v>31</v>
      </c>
      <c r="H221">
        <v>285</v>
      </c>
      <c r="I221" t="s">
        <v>136</v>
      </c>
      <c r="J221" t="s">
        <v>137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"20:17:21.172"</f>
        <v>20:17:21.172</v>
      </c>
      <c r="T221" t="str">
        <f>"20:17:13.272"</f>
        <v>20:17:13.272</v>
      </c>
      <c r="U221" t="str">
        <f t="shared" si="29"/>
        <v>AA0632</v>
      </c>
      <c r="V221">
        <v>0</v>
      </c>
      <c r="W221">
        <v>0</v>
      </c>
      <c r="X221">
        <v>2</v>
      </c>
      <c r="Y221">
        <v>0</v>
      </c>
      <c r="AA221">
        <v>0</v>
      </c>
      <c r="AB221">
        <v>9</v>
      </c>
      <c r="AC221">
        <v>3</v>
      </c>
      <c r="AD221">
        <v>0</v>
      </c>
      <c r="AE221">
        <v>10</v>
      </c>
      <c r="AF221" t="s">
        <v>126</v>
      </c>
      <c r="AG221">
        <v>0</v>
      </c>
      <c r="AH221">
        <v>0</v>
      </c>
      <c r="AI221">
        <v>2</v>
      </c>
      <c r="AJ221">
        <v>0</v>
      </c>
      <c r="AK221" t="s">
        <v>247</v>
      </c>
      <c r="AL221">
        <v>31.962125</v>
      </c>
      <c r="AM221" t="s">
        <v>248</v>
      </c>
      <c r="AN221">
        <v>-101.161766</v>
      </c>
      <c r="AQ221" t="s">
        <v>129</v>
      </c>
      <c r="AR221">
        <v>-75</v>
      </c>
      <c r="AS221">
        <v>-3</v>
      </c>
      <c r="AT221">
        <v>0</v>
      </c>
      <c r="BB221" t="str">
        <f t="shared" si="30"/>
        <v>1200</v>
      </c>
      <c r="BC221">
        <v>1</v>
      </c>
      <c r="BD221" t="str">
        <f t="shared" si="34"/>
        <v xml:space="preserve">N745MB  </v>
      </c>
      <c r="BE221">
        <v>1</v>
      </c>
      <c r="BG221">
        <v>0</v>
      </c>
      <c r="BH221">
        <v>0</v>
      </c>
      <c r="BI221">
        <v>0</v>
      </c>
      <c r="BL221" t="s">
        <v>130</v>
      </c>
      <c r="BM221">
        <v>1</v>
      </c>
      <c r="BN221">
        <v>0</v>
      </c>
      <c r="BO221">
        <v>0</v>
      </c>
      <c r="BP221">
        <v>0</v>
      </c>
      <c r="BT221">
        <v>0</v>
      </c>
      <c r="BU221">
        <v>0</v>
      </c>
      <c r="CE221" t="str">
        <f>"20:17:21.175"</f>
        <v>20:17:21.175</v>
      </c>
      <c r="CF221">
        <v>175478942</v>
      </c>
      <c r="CS221">
        <v>0</v>
      </c>
      <c r="CT221">
        <v>2</v>
      </c>
      <c r="CU221">
        <v>0</v>
      </c>
      <c r="CV221">
        <v>2</v>
      </c>
      <c r="CW221">
        <v>0</v>
      </c>
      <c r="CX221">
        <v>1</v>
      </c>
      <c r="CY221">
        <v>7</v>
      </c>
      <c r="CZ221" t="s">
        <v>131</v>
      </c>
      <c r="DA221">
        <v>116</v>
      </c>
      <c r="DB221">
        <v>3</v>
      </c>
      <c r="DC221" t="s">
        <v>132</v>
      </c>
      <c r="DD221" t="s">
        <v>133</v>
      </c>
      <c r="DG221">
        <v>8128937</v>
      </c>
      <c r="DI221">
        <v>0</v>
      </c>
      <c r="DJ221">
        <v>0</v>
      </c>
      <c r="DK221">
        <v>1</v>
      </c>
      <c r="DL221">
        <v>0</v>
      </c>
      <c r="DM221">
        <v>0</v>
      </c>
      <c r="DN221">
        <v>0</v>
      </c>
      <c r="DO221">
        <v>0</v>
      </c>
      <c r="DP221">
        <v>1</v>
      </c>
      <c r="DQ221">
        <v>0</v>
      </c>
      <c r="DR221">
        <v>0</v>
      </c>
      <c r="DS221">
        <v>0</v>
      </c>
    </row>
    <row r="222" spans="1:123" x14ac:dyDescent="0.25">
      <c r="A222" t="str">
        <f>"11/29/2023 20:17:21.866"</f>
        <v>11/29/2023 20:17:21.866</v>
      </c>
      <c r="C222" t="str">
        <f t="shared" si="32"/>
        <v>FFDF53C0</v>
      </c>
      <c r="D222" t="s">
        <v>123</v>
      </c>
      <c r="E222">
        <v>1</v>
      </c>
      <c r="F222">
        <v>1001</v>
      </c>
      <c r="G222" t="s">
        <v>134</v>
      </c>
      <c r="J222" t="s">
        <v>125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"20:17:21.172"</f>
        <v>20:17:21.172</v>
      </c>
      <c r="T222" t="str">
        <f>"20:17:13.272"</f>
        <v>20:17:13.272</v>
      </c>
      <c r="U222" t="str">
        <f t="shared" si="29"/>
        <v>AA0632</v>
      </c>
      <c r="V222">
        <v>0</v>
      </c>
      <c r="W222">
        <v>0</v>
      </c>
      <c r="X222">
        <v>2</v>
      </c>
      <c r="Y222">
        <v>0</v>
      </c>
      <c r="AA222">
        <v>0</v>
      </c>
      <c r="AB222">
        <v>9</v>
      </c>
      <c r="AC222">
        <v>3</v>
      </c>
      <c r="AD222">
        <v>0</v>
      </c>
      <c r="AE222">
        <v>10</v>
      </c>
      <c r="AF222" t="s">
        <v>126</v>
      </c>
      <c r="AG222">
        <v>0</v>
      </c>
      <c r="AH222">
        <v>0</v>
      </c>
      <c r="AI222">
        <v>2</v>
      </c>
      <c r="AJ222">
        <v>0</v>
      </c>
      <c r="AK222" t="s">
        <v>247</v>
      </c>
      <c r="AL222">
        <v>31.962125</v>
      </c>
      <c r="AM222" t="s">
        <v>248</v>
      </c>
      <c r="AN222">
        <v>-101.161766</v>
      </c>
      <c r="AQ222" t="s">
        <v>129</v>
      </c>
      <c r="AR222">
        <v>-75</v>
      </c>
      <c r="AS222">
        <v>-3</v>
      </c>
      <c r="AT222">
        <v>0</v>
      </c>
      <c r="BB222" t="str">
        <f t="shared" si="30"/>
        <v>1200</v>
      </c>
      <c r="BC222">
        <v>1</v>
      </c>
      <c r="BD222" t="str">
        <f t="shared" si="34"/>
        <v xml:space="preserve">N745MB  </v>
      </c>
      <c r="BE222">
        <v>1</v>
      </c>
      <c r="BG222">
        <v>0</v>
      </c>
      <c r="BH222">
        <v>0</v>
      </c>
      <c r="BI222">
        <v>0</v>
      </c>
      <c r="BL222" t="s">
        <v>130</v>
      </c>
      <c r="BM222">
        <v>1</v>
      </c>
      <c r="BN222">
        <v>0</v>
      </c>
      <c r="BO222">
        <v>0</v>
      </c>
      <c r="BP222">
        <v>0</v>
      </c>
      <c r="BT222">
        <v>0</v>
      </c>
      <c r="BU222">
        <v>0</v>
      </c>
      <c r="CE222" t="str">
        <f>"20:17:21.175"</f>
        <v>20:17:21.175</v>
      </c>
      <c r="CF222">
        <v>175478942</v>
      </c>
      <c r="CS222">
        <v>0</v>
      </c>
      <c r="CT222">
        <v>2</v>
      </c>
      <c r="CU222">
        <v>0</v>
      </c>
      <c r="CV222">
        <v>2</v>
      </c>
      <c r="CW222">
        <v>0</v>
      </c>
      <c r="CX222">
        <v>1</v>
      </c>
      <c r="CY222">
        <v>7</v>
      </c>
      <c r="CZ222" t="s">
        <v>131</v>
      </c>
      <c r="DA222">
        <v>116</v>
      </c>
      <c r="DB222">
        <v>3</v>
      </c>
      <c r="DC222" t="s">
        <v>132</v>
      </c>
      <c r="DD222" t="s">
        <v>133</v>
      </c>
      <c r="DG222">
        <v>8128937</v>
      </c>
      <c r="DI222">
        <v>0</v>
      </c>
      <c r="DJ222">
        <v>0</v>
      </c>
      <c r="DK222">
        <v>1</v>
      </c>
      <c r="DL222">
        <v>0</v>
      </c>
      <c r="DM222">
        <v>0</v>
      </c>
      <c r="DN222">
        <v>0</v>
      </c>
      <c r="DO222">
        <v>0</v>
      </c>
      <c r="DP222">
        <v>1</v>
      </c>
      <c r="DQ222">
        <v>0</v>
      </c>
      <c r="DR222">
        <v>0</v>
      </c>
      <c r="DS222">
        <v>0</v>
      </c>
    </row>
    <row r="223" spans="1:123" x14ac:dyDescent="0.25">
      <c r="A223" t="str">
        <f>"11/29/2023 20:17:41.976"</f>
        <v>11/29/2023 20:17:41.976</v>
      </c>
      <c r="C223" t="str">
        <f>"FFDF13C0"</f>
        <v>FFDF13C0</v>
      </c>
      <c r="D223" t="s">
        <v>123</v>
      </c>
      <c r="E223">
        <v>1</v>
      </c>
      <c r="F223">
        <v>1001</v>
      </c>
      <c r="G223" t="s">
        <v>134</v>
      </c>
      <c r="J223" t="s">
        <v>125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 t="shared" ref="S223:T226" si="35">"20:17:41.445"</f>
        <v>20:17:41.445</v>
      </c>
      <c r="T223" t="str">
        <f t="shared" si="35"/>
        <v>20:17:41.445</v>
      </c>
      <c r="U223" t="str">
        <f t="shared" si="29"/>
        <v>AA0632</v>
      </c>
      <c r="V223">
        <v>0</v>
      </c>
      <c r="W223">
        <v>0</v>
      </c>
      <c r="X223">
        <v>2</v>
      </c>
      <c r="Y223">
        <v>0</v>
      </c>
      <c r="AA223">
        <v>0</v>
      </c>
      <c r="AB223">
        <v>0</v>
      </c>
      <c r="AC223">
        <v>0</v>
      </c>
      <c r="AD223">
        <v>0</v>
      </c>
      <c r="AF223" t="s">
        <v>126</v>
      </c>
      <c r="AG223">
        <v>0</v>
      </c>
      <c r="AH223">
        <v>0</v>
      </c>
      <c r="AI223">
        <v>2</v>
      </c>
      <c r="AJ223">
        <v>0</v>
      </c>
      <c r="AK223" t="s">
        <v>249</v>
      </c>
      <c r="AL223">
        <v>31.960645</v>
      </c>
      <c r="AM223" t="s">
        <v>250</v>
      </c>
      <c r="AN223">
        <v>-101.164963</v>
      </c>
      <c r="AQ223" t="s">
        <v>129</v>
      </c>
      <c r="AR223">
        <v>6</v>
      </c>
      <c r="AS223">
        <v>-11</v>
      </c>
      <c r="AT223">
        <v>-192</v>
      </c>
      <c r="BB223" t="str">
        <f t="shared" si="30"/>
        <v>1200</v>
      </c>
      <c r="BC223">
        <v>1</v>
      </c>
      <c r="BD223" t="str">
        <f t="shared" si="34"/>
        <v xml:space="preserve">N745MB  </v>
      </c>
      <c r="BE223">
        <v>1</v>
      </c>
      <c r="BG223">
        <v>0</v>
      </c>
      <c r="BH223">
        <v>0</v>
      </c>
      <c r="BI223">
        <v>0</v>
      </c>
      <c r="CE223" t="str">
        <f>"20:17:41.452"</f>
        <v>20:17:41.452</v>
      </c>
      <c r="CF223">
        <v>452085304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1</v>
      </c>
      <c r="CY223">
        <v>7</v>
      </c>
      <c r="CZ223" t="s">
        <v>131</v>
      </c>
      <c r="DA223">
        <v>116</v>
      </c>
      <c r="DB223">
        <v>3</v>
      </c>
      <c r="DC223" t="s">
        <v>132</v>
      </c>
      <c r="DD223" t="s">
        <v>133</v>
      </c>
      <c r="DG223">
        <v>8140528</v>
      </c>
      <c r="DI223">
        <v>0</v>
      </c>
      <c r="DJ223">
        <v>1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1</v>
      </c>
      <c r="DQ223">
        <v>1</v>
      </c>
      <c r="DR223">
        <v>0</v>
      </c>
      <c r="DS223">
        <v>1</v>
      </c>
    </row>
    <row r="224" spans="1:123" x14ac:dyDescent="0.25">
      <c r="A224" t="str">
        <f>"11/29/2023 20:17:42.007"</f>
        <v>11/29/2023 20:17:42.007</v>
      </c>
      <c r="C224" t="str">
        <f>"FFDF53C0"</f>
        <v>FFDF53C0</v>
      </c>
      <c r="D224" t="s">
        <v>135</v>
      </c>
      <c r="E224">
        <v>31</v>
      </c>
      <c r="H224">
        <v>285</v>
      </c>
      <c r="I224" t="s">
        <v>136</v>
      </c>
      <c r="J224" t="s">
        <v>137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 t="shared" si="35"/>
        <v>20:17:41.445</v>
      </c>
      <c r="T224" t="str">
        <f t="shared" si="35"/>
        <v>20:17:41.445</v>
      </c>
      <c r="U224" t="str">
        <f t="shared" si="29"/>
        <v>AA0632</v>
      </c>
      <c r="V224">
        <v>0</v>
      </c>
      <c r="W224">
        <v>0</v>
      </c>
      <c r="X224">
        <v>2</v>
      </c>
      <c r="Y224">
        <v>0</v>
      </c>
      <c r="AA224">
        <v>0</v>
      </c>
      <c r="AB224">
        <v>0</v>
      </c>
      <c r="AC224">
        <v>0</v>
      </c>
      <c r="AD224">
        <v>0</v>
      </c>
      <c r="AF224" t="s">
        <v>126</v>
      </c>
      <c r="AG224">
        <v>0</v>
      </c>
      <c r="AH224">
        <v>0</v>
      </c>
      <c r="AI224">
        <v>2</v>
      </c>
      <c r="AJ224">
        <v>0</v>
      </c>
      <c r="AK224" t="s">
        <v>249</v>
      </c>
      <c r="AL224">
        <v>31.960645</v>
      </c>
      <c r="AM224" t="s">
        <v>250</v>
      </c>
      <c r="AN224">
        <v>-101.164963</v>
      </c>
      <c r="AQ224" t="s">
        <v>129</v>
      </c>
      <c r="AR224">
        <v>6</v>
      </c>
      <c r="AS224">
        <v>-11</v>
      </c>
      <c r="AT224">
        <v>-192</v>
      </c>
      <c r="BB224" t="str">
        <f t="shared" si="30"/>
        <v>1200</v>
      </c>
      <c r="BC224">
        <v>1</v>
      </c>
      <c r="BD224" t="str">
        <f t="shared" si="34"/>
        <v xml:space="preserve">N745MB  </v>
      </c>
      <c r="BE224">
        <v>1</v>
      </c>
      <c r="BG224">
        <v>0</v>
      </c>
      <c r="BH224">
        <v>0</v>
      </c>
      <c r="BI224">
        <v>0</v>
      </c>
      <c r="BL224" t="s">
        <v>130</v>
      </c>
      <c r="BM224">
        <v>0</v>
      </c>
      <c r="BN224">
        <v>0</v>
      </c>
      <c r="BO224">
        <v>0</v>
      </c>
      <c r="BP224">
        <v>0</v>
      </c>
      <c r="BT224">
        <v>0</v>
      </c>
      <c r="BU224">
        <v>0</v>
      </c>
      <c r="CE224" t="str">
        <f>"20:17:41.452"</f>
        <v>20:17:41.452</v>
      </c>
      <c r="CF224">
        <v>452085304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1</v>
      </c>
      <c r="CY224">
        <v>7</v>
      </c>
      <c r="CZ224" t="s">
        <v>131</v>
      </c>
      <c r="DA224">
        <v>116</v>
      </c>
      <c r="DB224">
        <v>3</v>
      </c>
      <c r="DC224" t="s">
        <v>132</v>
      </c>
      <c r="DD224" t="s">
        <v>133</v>
      </c>
      <c r="DG224">
        <v>8140528</v>
      </c>
      <c r="DI224">
        <v>0</v>
      </c>
      <c r="DJ224">
        <v>1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1</v>
      </c>
      <c r="DQ224">
        <v>1</v>
      </c>
      <c r="DR224">
        <v>0</v>
      </c>
      <c r="DS224">
        <v>1</v>
      </c>
    </row>
    <row r="225" spans="1:123" x14ac:dyDescent="0.25">
      <c r="A225" t="str">
        <f>"11/29/2023 20:17:42.007"</f>
        <v>11/29/2023 20:17:42.007</v>
      </c>
      <c r="C225" t="str">
        <f>"FFDF13C0"</f>
        <v>FFDF13C0</v>
      </c>
      <c r="D225" t="s">
        <v>123</v>
      </c>
      <c r="E225">
        <v>14</v>
      </c>
      <c r="F225">
        <v>1014</v>
      </c>
      <c r="G225" t="s">
        <v>124</v>
      </c>
      <c r="J225" t="s">
        <v>125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 t="shared" si="35"/>
        <v>20:17:41.445</v>
      </c>
      <c r="T225" t="str">
        <f t="shared" si="35"/>
        <v>20:17:41.445</v>
      </c>
      <c r="U225" t="str">
        <f t="shared" si="29"/>
        <v>AA0632</v>
      </c>
      <c r="V225">
        <v>0</v>
      </c>
      <c r="W225">
        <v>0</v>
      </c>
      <c r="X225">
        <v>2</v>
      </c>
      <c r="Y225">
        <v>0</v>
      </c>
      <c r="AA225">
        <v>0</v>
      </c>
      <c r="AB225">
        <v>0</v>
      </c>
      <c r="AC225">
        <v>0</v>
      </c>
      <c r="AD225">
        <v>0</v>
      </c>
      <c r="AF225" t="s">
        <v>126</v>
      </c>
      <c r="AG225">
        <v>0</v>
      </c>
      <c r="AH225">
        <v>0</v>
      </c>
      <c r="AI225">
        <v>2</v>
      </c>
      <c r="AJ225">
        <v>0</v>
      </c>
      <c r="AK225" t="s">
        <v>249</v>
      </c>
      <c r="AL225">
        <v>31.960645</v>
      </c>
      <c r="AM225" t="s">
        <v>250</v>
      </c>
      <c r="AN225">
        <v>-101.164963</v>
      </c>
      <c r="AQ225" t="s">
        <v>129</v>
      </c>
      <c r="AR225">
        <v>6</v>
      </c>
      <c r="AS225">
        <v>-11</v>
      </c>
      <c r="AT225">
        <v>-192</v>
      </c>
      <c r="BB225" t="str">
        <f t="shared" si="30"/>
        <v>1200</v>
      </c>
      <c r="BC225">
        <v>1</v>
      </c>
      <c r="BD225" t="str">
        <f t="shared" si="34"/>
        <v xml:space="preserve">N745MB  </v>
      </c>
      <c r="BE225">
        <v>1</v>
      </c>
      <c r="BG225">
        <v>0</v>
      </c>
      <c r="BH225">
        <v>0</v>
      </c>
      <c r="BI225">
        <v>0</v>
      </c>
      <c r="CE225" t="str">
        <f>"20:17:41.452"</f>
        <v>20:17:41.452</v>
      </c>
      <c r="CF225">
        <v>452085304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1</v>
      </c>
      <c r="CY225">
        <v>7</v>
      </c>
      <c r="CZ225" t="s">
        <v>131</v>
      </c>
      <c r="DA225">
        <v>116</v>
      </c>
      <c r="DB225">
        <v>3</v>
      </c>
      <c r="DC225" t="s">
        <v>132</v>
      </c>
      <c r="DD225" t="s">
        <v>133</v>
      </c>
      <c r="DG225">
        <v>8140528</v>
      </c>
      <c r="DI225">
        <v>0</v>
      </c>
      <c r="DJ225">
        <v>1</v>
      </c>
      <c r="DK225">
        <v>1</v>
      </c>
      <c r="DL225">
        <v>0</v>
      </c>
      <c r="DM225">
        <v>0</v>
      </c>
      <c r="DN225">
        <v>0</v>
      </c>
      <c r="DO225">
        <v>0</v>
      </c>
      <c r="DP225">
        <v>1</v>
      </c>
      <c r="DQ225">
        <v>1</v>
      </c>
      <c r="DR225">
        <v>0</v>
      </c>
      <c r="DS225">
        <v>1</v>
      </c>
    </row>
    <row r="226" spans="1:123" x14ac:dyDescent="0.25">
      <c r="A226" t="str">
        <f>"11/29/2023 20:17:42.007"</f>
        <v>11/29/2023 20:17:42.007</v>
      </c>
      <c r="C226" t="str">
        <f>"FFDF53C0"</f>
        <v>FFDF53C0</v>
      </c>
      <c r="D226" t="s">
        <v>138</v>
      </c>
      <c r="E226">
        <v>3</v>
      </c>
      <c r="H226">
        <v>160</v>
      </c>
      <c r="I226" t="s">
        <v>124</v>
      </c>
      <c r="J226" t="s">
        <v>139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 t="shared" si="35"/>
        <v>20:17:41.445</v>
      </c>
      <c r="T226" t="str">
        <f t="shared" si="35"/>
        <v>20:17:41.445</v>
      </c>
      <c r="U226" t="str">
        <f t="shared" si="29"/>
        <v>AA0632</v>
      </c>
      <c r="V226">
        <v>0</v>
      </c>
      <c r="W226">
        <v>0</v>
      </c>
      <c r="X226">
        <v>2</v>
      </c>
      <c r="Y226">
        <v>0</v>
      </c>
      <c r="AA226">
        <v>0</v>
      </c>
      <c r="AB226">
        <v>0</v>
      </c>
      <c r="AC226">
        <v>0</v>
      </c>
      <c r="AD226">
        <v>0</v>
      </c>
      <c r="AF226" t="s">
        <v>126</v>
      </c>
      <c r="AG226">
        <v>0</v>
      </c>
      <c r="AH226">
        <v>0</v>
      </c>
      <c r="AI226">
        <v>2</v>
      </c>
      <c r="AJ226">
        <v>0</v>
      </c>
      <c r="AK226" t="s">
        <v>249</v>
      </c>
      <c r="AL226">
        <v>31.960645</v>
      </c>
      <c r="AM226" t="s">
        <v>250</v>
      </c>
      <c r="AN226">
        <v>-101.164963</v>
      </c>
      <c r="AQ226" t="s">
        <v>129</v>
      </c>
      <c r="AR226">
        <v>6</v>
      </c>
      <c r="AS226">
        <v>-11</v>
      </c>
      <c r="AT226">
        <v>-192</v>
      </c>
      <c r="BB226" t="str">
        <f t="shared" si="30"/>
        <v>1200</v>
      </c>
      <c r="BC226">
        <v>1</v>
      </c>
      <c r="BD226" t="str">
        <f t="shared" si="34"/>
        <v xml:space="preserve">N745MB  </v>
      </c>
      <c r="BE226">
        <v>1</v>
      </c>
      <c r="BG226">
        <v>0</v>
      </c>
      <c r="BH226">
        <v>0</v>
      </c>
      <c r="BI226">
        <v>0</v>
      </c>
      <c r="BL226" t="s">
        <v>130</v>
      </c>
      <c r="BM226">
        <v>0</v>
      </c>
      <c r="BN226">
        <v>0</v>
      </c>
      <c r="BO226">
        <v>0</v>
      </c>
      <c r="BP226">
        <v>0</v>
      </c>
      <c r="BT226">
        <v>0</v>
      </c>
      <c r="BU226">
        <v>0</v>
      </c>
      <c r="CE226" t="str">
        <f>"20:17:41.452"</f>
        <v>20:17:41.452</v>
      </c>
      <c r="CF226">
        <v>452085304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1</v>
      </c>
      <c r="CY226">
        <v>7</v>
      </c>
      <c r="CZ226" t="s">
        <v>131</v>
      </c>
      <c r="DA226">
        <v>116</v>
      </c>
      <c r="DB226">
        <v>3</v>
      </c>
      <c r="DC226" t="s">
        <v>132</v>
      </c>
      <c r="DD226" t="s">
        <v>133</v>
      </c>
      <c r="DG226">
        <v>8140528</v>
      </c>
      <c r="DI226">
        <v>0</v>
      </c>
      <c r="DJ226">
        <v>1</v>
      </c>
      <c r="DK226">
        <v>1</v>
      </c>
      <c r="DL226">
        <v>0</v>
      </c>
      <c r="DM226">
        <v>0</v>
      </c>
      <c r="DN226">
        <v>0</v>
      </c>
      <c r="DO226">
        <v>0</v>
      </c>
      <c r="DP226">
        <v>1</v>
      </c>
      <c r="DQ226">
        <v>1</v>
      </c>
      <c r="DR226">
        <v>0</v>
      </c>
      <c r="DS226">
        <v>1</v>
      </c>
    </row>
    <row r="227" spans="1:123" x14ac:dyDescent="0.25">
      <c r="A227" t="str">
        <f>"11/29/2023 20:17:42.929"</f>
        <v>11/29/2023 20:17:42.929</v>
      </c>
      <c r="C227" t="str">
        <f>"FFDF13C0"</f>
        <v>FFDF13C0</v>
      </c>
      <c r="D227" t="s">
        <v>123</v>
      </c>
      <c r="E227">
        <v>1</v>
      </c>
      <c r="F227">
        <v>1001</v>
      </c>
      <c r="G227" t="s">
        <v>134</v>
      </c>
      <c r="J227" t="s">
        <v>125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"20:17:42.445"</f>
        <v>20:17:42.445</v>
      </c>
      <c r="T227" t="str">
        <f>"20:17:41.845"</f>
        <v>20:17:41.845</v>
      </c>
      <c r="U227" t="str">
        <f t="shared" si="29"/>
        <v>AA0632</v>
      </c>
      <c r="V227">
        <v>0</v>
      </c>
      <c r="W227">
        <v>0</v>
      </c>
      <c r="X227">
        <v>2</v>
      </c>
      <c r="Y227">
        <v>0</v>
      </c>
      <c r="AA227">
        <v>0</v>
      </c>
      <c r="AB227">
        <v>0</v>
      </c>
      <c r="AC227">
        <v>0</v>
      </c>
      <c r="AD227">
        <v>0</v>
      </c>
      <c r="AF227" t="s">
        <v>126</v>
      </c>
      <c r="AG227">
        <v>0</v>
      </c>
      <c r="AH227">
        <v>0</v>
      </c>
      <c r="AI227">
        <v>2</v>
      </c>
      <c r="AJ227">
        <v>0</v>
      </c>
      <c r="AK227" t="s">
        <v>251</v>
      </c>
      <c r="AL227">
        <v>31.960602000000002</v>
      </c>
      <c r="AM227" t="s">
        <v>252</v>
      </c>
      <c r="AN227">
        <v>-101.16492</v>
      </c>
      <c r="AQ227" t="s">
        <v>129</v>
      </c>
      <c r="AR227">
        <v>6</v>
      </c>
      <c r="AS227">
        <v>-10</v>
      </c>
      <c r="AT227">
        <v>-192</v>
      </c>
      <c r="BB227" t="str">
        <f t="shared" si="30"/>
        <v>1200</v>
      </c>
      <c r="BC227">
        <v>1</v>
      </c>
      <c r="BD227" t="str">
        <f t="shared" si="34"/>
        <v xml:space="preserve">N745MB  </v>
      </c>
      <c r="BE227">
        <v>1</v>
      </c>
      <c r="BG227">
        <v>0</v>
      </c>
      <c r="BH227">
        <v>0</v>
      </c>
      <c r="BI227">
        <v>0</v>
      </c>
      <c r="CE227" t="str">
        <f>"20:17:42.452"</f>
        <v>20:17:42.452</v>
      </c>
      <c r="CF227">
        <v>452016698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2</v>
      </c>
      <c r="CY227">
        <v>7</v>
      </c>
      <c r="CZ227" t="s">
        <v>131</v>
      </c>
      <c r="DA227">
        <v>116</v>
      </c>
      <c r="DB227">
        <v>3</v>
      </c>
      <c r="DC227" t="s">
        <v>132</v>
      </c>
      <c r="DD227" t="s">
        <v>133</v>
      </c>
      <c r="DG227">
        <v>8141049</v>
      </c>
      <c r="DI227">
        <v>0</v>
      </c>
      <c r="DJ227">
        <v>1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1</v>
      </c>
      <c r="DQ227">
        <v>1</v>
      </c>
      <c r="DR227">
        <v>0</v>
      </c>
      <c r="DS227">
        <v>1</v>
      </c>
    </row>
    <row r="228" spans="1:123" x14ac:dyDescent="0.25">
      <c r="A228" t="str">
        <f>"11/29/2023 20:17:43.038"</f>
        <v>11/29/2023 20:17:43.038</v>
      </c>
      <c r="C228" t="str">
        <f>"FFDF53C0"</f>
        <v>FFDF53C0</v>
      </c>
      <c r="D228" t="s">
        <v>135</v>
      </c>
      <c r="E228">
        <v>31</v>
      </c>
      <c r="H228">
        <v>285</v>
      </c>
      <c r="I228" t="s">
        <v>136</v>
      </c>
      <c r="J228" t="s">
        <v>137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"20:17:42.445"</f>
        <v>20:17:42.445</v>
      </c>
      <c r="T228" t="str">
        <f>"20:17:41.845"</f>
        <v>20:17:41.845</v>
      </c>
      <c r="U228" t="str">
        <f t="shared" si="29"/>
        <v>AA0632</v>
      </c>
      <c r="V228">
        <v>0</v>
      </c>
      <c r="W228">
        <v>0</v>
      </c>
      <c r="X228">
        <v>2</v>
      </c>
      <c r="Y228">
        <v>0</v>
      </c>
      <c r="AA228">
        <v>0</v>
      </c>
      <c r="AB228">
        <v>0</v>
      </c>
      <c r="AC228">
        <v>0</v>
      </c>
      <c r="AD228">
        <v>0</v>
      </c>
      <c r="AF228" t="s">
        <v>126</v>
      </c>
      <c r="AG228">
        <v>0</v>
      </c>
      <c r="AH228">
        <v>0</v>
      </c>
      <c r="AI228">
        <v>2</v>
      </c>
      <c r="AJ228">
        <v>0</v>
      </c>
      <c r="AK228" t="s">
        <v>251</v>
      </c>
      <c r="AL228">
        <v>31.960602000000002</v>
      </c>
      <c r="AM228" t="s">
        <v>252</v>
      </c>
      <c r="AN228">
        <v>-101.16492</v>
      </c>
      <c r="AQ228" t="s">
        <v>129</v>
      </c>
      <c r="AR228">
        <v>6</v>
      </c>
      <c r="AS228">
        <v>-10</v>
      </c>
      <c r="AT228">
        <v>-192</v>
      </c>
      <c r="BB228" t="str">
        <f t="shared" si="30"/>
        <v>1200</v>
      </c>
      <c r="BC228">
        <v>1</v>
      </c>
      <c r="BD228" t="str">
        <f t="shared" si="34"/>
        <v xml:space="preserve">N745MB  </v>
      </c>
      <c r="BE228">
        <v>1</v>
      </c>
      <c r="BG228">
        <v>0</v>
      </c>
      <c r="BH228">
        <v>0</v>
      </c>
      <c r="BI228">
        <v>0</v>
      </c>
      <c r="BL228" t="s">
        <v>130</v>
      </c>
      <c r="BM228">
        <v>0</v>
      </c>
      <c r="BN228">
        <v>0</v>
      </c>
      <c r="BO228">
        <v>0</v>
      </c>
      <c r="BP228">
        <v>0</v>
      </c>
      <c r="BT228">
        <v>0</v>
      </c>
      <c r="BU228">
        <v>0</v>
      </c>
      <c r="CE228" t="str">
        <f>"20:17:42.452"</f>
        <v>20:17:42.452</v>
      </c>
      <c r="CF228">
        <v>452016698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2</v>
      </c>
      <c r="CY228">
        <v>7</v>
      </c>
      <c r="CZ228" t="s">
        <v>131</v>
      </c>
      <c r="DA228">
        <v>116</v>
      </c>
      <c r="DB228">
        <v>3</v>
      </c>
      <c r="DC228" t="s">
        <v>132</v>
      </c>
      <c r="DD228" t="s">
        <v>133</v>
      </c>
      <c r="DG228">
        <v>8141049</v>
      </c>
      <c r="DI228">
        <v>0</v>
      </c>
      <c r="DJ228">
        <v>1</v>
      </c>
      <c r="DK228">
        <v>1</v>
      </c>
      <c r="DL228">
        <v>0</v>
      </c>
      <c r="DM228">
        <v>0</v>
      </c>
      <c r="DN228">
        <v>0</v>
      </c>
      <c r="DO228">
        <v>0</v>
      </c>
      <c r="DP228">
        <v>1</v>
      </c>
      <c r="DQ228">
        <v>1</v>
      </c>
      <c r="DR228">
        <v>0</v>
      </c>
      <c r="DS228">
        <v>1</v>
      </c>
    </row>
    <row r="229" spans="1:123" x14ac:dyDescent="0.25">
      <c r="A229" t="str">
        <f>"11/29/2023 20:17:43.038"</f>
        <v>11/29/2023 20:17:43.038</v>
      </c>
      <c r="C229" t="str">
        <f>"FFDF53C0"</f>
        <v>FFDF53C0</v>
      </c>
      <c r="D229" t="s">
        <v>138</v>
      </c>
      <c r="E229">
        <v>3</v>
      </c>
      <c r="H229">
        <v>160</v>
      </c>
      <c r="I229" t="s">
        <v>124</v>
      </c>
      <c r="J229" t="s">
        <v>139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"20:17:42.445"</f>
        <v>20:17:42.445</v>
      </c>
      <c r="T229" t="str">
        <f>"20:17:41.845"</f>
        <v>20:17:41.845</v>
      </c>
      <c r="U229" t="str">
        <f t="shared" si="29"/>
        <v>AA0632</v>
      </c>
      <c r="V229">
        <v>0</v>
      </c>
      <c r="W229">
        <v>0</v>
      </c>
      <c r="X229">
        <v>2</v>
      </c>
      <c r="Y229">
        <v>0</v>
      </c>
      <c r="AA229">
        <v>0</v>
      </c>
      <c r="AB229">
        <v>0</v>
      </c>
      <c r="AC229">
        <v>0</v>
      </c>
      <c r="AD229">
        <v>0</v>
      </c>
      <c r="AF229" t="s">
        <v>126</v>
      </c>
      <c r="AG229">
        <v>0</v>
      </c>
      <c r="AH229">
        <v>0</v>
      </c>
      <c r="AI229">
        <v>2</v>
      </c>
      <c r="AJ229">
        <v>0</v>
      </c>
      <c r="AK229" t="s">
        <v>251</v>
      </c>
      <c r="AL229">
        <v>31.960602000000002</v>
      </c>
      <c r="AM229" t="s">
        <v>252</v>
      </c>
      <c r="AN229">
        <v>-101.16492</v>
      </c>
      <c r="AQ229" t="s">
        <v>129</v>
      </c>
      <c r="AR229">
        <v>6</v>
      </c>
      <c r="AS229">
        <v>-10</v>
      </c>
      <c r="AT229">
        <v>-192</v>
      </c>
      <c r="BB229" t="str">
        <f t="shared" si="30"/>
        <v>1200</v>
      </c>
      <c r="BC229">
        <v>1</v>
      </c>
      <c r="BD229" t="str">
        <f t="shared" si="34"/>
        <v xml:space="preserve">N745MB  </v>
      </c>
      <c r="BE229">
        <v>1</v>
      </c>
      <c r="BG229">
        <v>0</v>
      </c>
      <c r="BH229">
        <v>0</v>
      </c>
      <c r="BI229">
        <v>0</v>
      </c>
      <c r="BL229" t="s">
        <v>130</v>
      </c>
      <c r="BM229">
        <v>0</v>
      </c>
      <c r="BN229">
        <v>0</v>
      </c>
      <c r="BO229">
        <v>0</v>
      </c>
      <c r="BP229">
        <v>0</v>
      </c>
      <c r="BT229">
        <v>0</v>
      </c>
      <c r="BU229">
        <v>0</v>
      </c>
      <c r="CE229" t="str">
        <f>"20:17:42.452"</f>
        <v>20:17:42.452</v>
      </c>
      <c r="CF229">
        <v>452016698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2</v>
      </c>
      <c r="CY229">
        <v>7</v>
      </c>
      <c r="CZ229" t="s">
        <v>131</v>
      </c>
      <c r="DA229">
        <v>116</v>
      </c>
      <c r="DB229">
        <v>3</v>
      </c>
      <c r="DC229" t="s">
        <v>132</v>
      </c>
      <c r="DD229" t="s">
        <v>133</v>
      </c>
      <c r="DG229">
        <v>8141049</v>
      </c>
      <c r="DI229">
        <v>0</v>
      </c>
      <c r="DJ229">
        <v>1</v>
      </c>
      <c r="DK229">
        <v>1</v>
      </c>
      <c r="DL229">
        <v>0</v>
      </c>
      <c r="DM229">
        <v>0</v>
      </c>
      <c r="DN229">
        <v>0</v>
      </c>
      <c r="DO229">
        <v>0</v>
      </c>
      <c r="DP229">
        <v>1</v>
      </c>
      <c r="DQ229">
        <v>1</v>
      </c>
      <c r="DR229">
        <v>0</v>
      </c>
      <c r="DS229">
        <v>1</v>
      </c>
    </row>
    <row r="230" spans="1:123" x14ac:dyDescent="0.25">
      <c r="A230" t="str">
        <f>"11/29/2023 20:17:43.038"</f>
        <v>11/29/2023 20:17:43.038</v>
      </c>
      <c r="C230" t="str">
        <f>"FFDF13C0"</f>
        <v>FFDF13C0</v>
      </c>
      <c r="D230" t="s">
        <v>123</v>
      </c>
      <c r="E230">
        <v>14</v>
      </c>
      <c r="F230">
        <v>1014</v>
      </c>
      <c r="G230" t="s">
        <v>124</v>
      </c>
      <c r="J230" t="s">
        <v>125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"20:17:42.445"</f>
        <v>20:17:42.445</v>
      </c>
      <c r="T230" t="str">
        <f>"20:17:41.845"</f>
        <v>20:17:41.845</v>
      </c>
      <c r="U230" t="str">
        <f t="shared" si="29"/>
        <v>AA0632</v>
      </c>
      <c r="V230">
        <v>0</v>
      </c>
      <c r="W230">
        <v>0</v>
      </c>
      <c r="X230">
        <v>2</v>
      </c>
      <c r="Y230">
        <v>0</v>
      </c>
      <c r="AA230">
        <v>0</v>
      </c>
      <c r="AB230">
        <v>0</v>
      </c>
      <c r="AC230">
        <v>0</v>
      </c>
      <c r="AD230">
        <v>0</v>
      </c>
      <c r="AF230" t="s">
        <v>126</v>
      </c>
      <c r="AG230">
        <v>0</v>
      </c>
      <c r="AH230">
        <v>0</v>
      </c>
      <c r="AI230">
        <v>2</v>
      </c>
      <c r="AJ230">
        <v>0</v>
      </c>
      <c r="AK230" t="s">
        <v>251</v>
      </c>
      <c r="AL230">
        <v>31.960602000000002</v>
      </c>
      <c r="AM230" t="s">
        <v>252</v>
      </c>
      <c r="AN230">
        <v>-101.16492</v>
      </c>
      <c r="AQ230" t="s">
        <v>129</v>
      </c>
      <c r="AR230">
        <v>6</v>
      </c>
      <c r="AS230">
        <v>-10</v>
      </c>
      <c r="AT230">
        <v>-192</v>
      </c>
      <c r="BB230" t="str">
        <f t="shared" si="30"/>
        <v>1200</v>
      </c>
      <c r="BC230">
        <v>1</v>
      </c>
      <c r="BD230" t="str">
        <f t="shared" si="34"/>
        <v xml:space="preserve">N745MB  </v>
      </c>
      <c r="BE230">
        <v>1</v>
      </c>
      <c r="BG230">
        <v>0</v>
      </c>
      <c r="BH230">
        <v>0</v>
      </c>
      <c r="BI230">
        <v>0</v>
      </c>
      <c r="CE230" t="str">
        <f>"20:17:42.452"</f>
        <v>20:17:42.452</v>
      </c>
      <c r="CF230">
        <v>452016698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2</v>
      </c>
      <c r="CY230">
        <v>7</v>
      </c>
      <c r="CZ230" t="s">
        <v>131</v>
      </c>
      <c r="DA230">
        <v>116</v>
      </c>
      <c r="DB230">
        <v>3</v>
      </c>
      <c r="DC230" t="s">
        <v>132</v>
      </c>
      <c r="DD230" t="s">
        <v>133</v>
      </c>
      <c r="DG230">
        <v>8141049</v>
      </c>
      <c r="DI230">
        <v>0</v>
      </c>
      <c r="DJ230">
        <v>1</v>
      </c>
      <c r="DK230">
        <v>1</v>
      </c>
      <c r="DL230">
        <v>0</v>
      </c>
      <c r="DM230">
        <v>0</v>
      </c>
      <c r="DN230">
        <v>0</v>
      </c>
      <c r="DO230">
        <v>0</v>
      </c>
      <c r="DP230">
        <v>1</v>
      </c>
      <c r="DQ230">
        <v>1</v>
      </c>
      <c r="DR230">
        <v>0</v>
      </c>
      <c r="DS230">
        <v>1</v>
      </c>
    </row>
    <row r="231" spans="1:123" x14ac:dyDescent="0.25">
      <c r="A231" t="str">
        <f>"11/29/2023 20:17:43.835"</f>
        <v>11/29/2023 20:17:43.835</v>
      </c>
      <c r="C231" t="str">
        <f t="shared" ref="C231:C294" si="36">"FFDF53C0"</f>
        <v>FFDF53C0</v>
      </c>
      <c r="D231" t="s">
        <v>135</v>
      </c>
      <c r="E231">
        <v>31</v>
      </c>
      <c r="H231">
        <v>285</v>
      </c>
      <c r="I231" t="s">
        <v>136</v>
      </c>
      <c r="J231" t="s">
        <v>137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"20:17:43.375"</f>
        <v>20:17:43.375</v>
      </c>
      <c r="T231" t="str">
        <f>"20:17:42.975"</f>
        <v>20:17:42.975</v>
      </c>
      <c r="U231" t="str">
        <f t="shared" si="29"/>
        <v>AA0632</v>
      </c>
      <c r="V231">
        <v>0</v>
      </c>
      <c r="W231">
        <v>0</v>
      </c>
      <c r="X231">
        <v>2</v>
      </c>
      <c r="Y231">
        <v>0</v>
      </c>
      <c r="AA231">
        <v>0</v>
      </c>
      <c r="AB231">
        <v>9</v>
      </c>
      <c r="AC231">
        <v>3</v>
      </c>
      <c r="AD231">
        <v>0</v>
      </c>
      <c r="AE231">
        <v>10</v>
      </c>
      <c r="AF231" t="s">
        <v>126</v>
      </c>
      <c r="AG231">
        <v>0</v>
      </c>
      <c r="AH231">
        <v>0</v>
      </c>
      <c r="AI231">
        <v>2</v>
      </c>
      <c r="AJ231">
        <v>0</v>
      </c>
      <c r="AK231" t="s">
        <v>253</v>
      </c>
      <c r="AL231">
        <v>31.96058</v>
      </c>
      <c r="AM231" t="s">
        <v>252</v>
      </c>
      <c r="AN231">
        <v>-101.16492</v>
      </c>
      <c r="AQ231" t="s">
        <v>129</v>
      </c>
      <c r="AR231">
        <v>6</v>
      </c>
      <c r="AS231">
        <v>-7</v>
      </c>
      <c r="AT231">
        <v>-256</v>
      </c>
      <c r="BB231" t="str">
        <f t="shared" si="30"/>
        <v>1200</v>
      </c>
      <c r="BC231">
        <v>1</v>
      </c>
      <c r="BD231" t="str">
        <f t="shared" si="34"/>
        <v xml:space="preserve">N745MB  </v>
      </c>
      <c r="BE231">
        <v>1</v>
      </c>
      <c r="BG231">
        <v>0</v>
      </c>
      <c r="BH231">
        <v>0</v>
      </c>
      <c r="BI231">
        <v>0</v>
      </c>
      <c r="BL231" t="s">
        <v>130</v>
      </c>
      <c r="BM231">
        <v>1</v>
      </c>
      <c r="BN231">
        <v>0</v>
      </c>
      <c r="BO231">
        <v>0</v>
      </c>
      <c r="BP231">
        <v>0</v>
      </c>
      <c r="BT231">
        <v>0</v>
      </c>
      <c r="BU231">
        <v>0</v>
      </c>
      <c r="CE231" t="str">
        <f>"20:17:43.378"</f>
        <v>20:17:43.378</v>
      </c>
      <c r="CF231">
        <v>377953224</v>
      </c>
      <c r="CS231">
        <v>0</v>
      </c>
      <c r="CT231">
        <v>2</v>
      </c>
      <c r="CU231">
        <v>0</v>
      </c>
      <c r="CV231">
        <v>2</v>
      </c>
      <c r="CW231">
        <v>0</v>
      </c>
      <c r="CX231">
        <v>1</v>
      </c>
      <c r="CY231">
        <v>7</v>
      </c>
      <c r="CZ231" t="s">
        <v>131</v>
      </c>
      <c r="DA231">
        <v>116</v>
      </c>
      <c r="DB231">
        <v>3</v>
      </c>
      <c r="DC231" t="s">
        <v>132</v>
      </c>
      <c r="DD231" t="s">
        <v>133</v>
      </c>
      <c r="DG231">
        <v>8141520</v>
      </c>
      <c r="DI231">
        <v>0</v>
      </c>
      <c r="DJ231">
        <v>1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1</v>
      </c>
      <c r="DQ231">
        <v>0</v>
      </c>
      <c r="DR231">
        <v>0</v>
      </c>
      <c r="DS231">
        <v>1</v>
      </c>
    </row>
    <row r="232" spans="1:123" x14ac:dyDescent="0.25">
      <c r="A232" t="str">
        <f>"11/29/2023 20:17:43.835"</f>
        <v>11/29/2023 20:17:43.835</v>
      </c>
      <c r="C232" t="str">
        <f t="shared" si="36"/>
        <v>FFDF53C0</v>
      </c>
      <c r="D232" t="s">
        <v>138</v>
      </c>
      <c r="E232">
        <v>3</v>
      </c>
      <c r="H232">
        <v>160</v>
      </c>
      <c r="I232" t="s">
        <v>124</v>
      </c>
      <c r="J232" t="s">
        <v>139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"20:17:43.375"</f>
        <v>20:17:43.375</v>
      </c>
      <c r="T232" t="str">
        <f>"20:17:42.975"</f>
        <v>20:17:42.975</v>
      </c>
      <c r="U232" t="str">
        <f t="shared" si="29"/>
        <v>AA0632</v>
      </c>
      <c r="V232">
        <v>0</v>
      </c>
      <c r="W232">
        <v>0</v>
      </c>
      <c r="X232">
        <v>2</v>
      </c>
      <c r="Y232">
        <v>0</v>
      </c>
      <c r="AA232">
        <v>0</v>
      </c>
      <c r="AB232">
        <v>9</v>
      </c>
      <c r="AC232">
        <v>3</v>
      </c>
      <c r="AD232">
        <v>0</v>
      </c>
      <c r="AE232">
        <v>10</v>
      </c>
      <c r="AF232" t="s">
        <v>126</v>
      </c>
      <c r="AG232">
        <v>0</v>
      </c>
      <c r="AH232">
        <v>0</v>
      </c>
      <c r="AI232">
        <v>2</v>
      </c>
      <c r="AJ232">
        <v>0</v>
      </c>
      <c r="AK232" t="s">
        <v>253</v>
      </c>
      <c r="AL232">
        <v>31.96058</v>
      </c>
      <c r="AM232" t="s">
        <v>252</v>
      </c>
      <c r="AN232">
        <v>-101.16492</v>
      </c>
      <c r="AQ232" t="s">
        <v>129</v>
      </c>
      <c r="AR232">
        <v>6</v>
      </c>
      <c r="AS232">
        <v>-7</v>
      </c>
      <c r="AT232">
        <v>-256</v>
      </c>
      <c r="BB232" t="str">
        <f t="shared" si="30"/>
        <v>1200</v>
      </c>
      <c r="BC232">
        <v>1</v>
      </c>
      <c r="BD232" t="str">
        <f t="shared" si="34"/>
        <v xml:space="preserve">N745MB  </v>
      </c>
      <c r="BE232">
        <v>1</v>
      </c>
      <c r="BG232">
        <v>0</v>
      </c>
      <c r="BH232">
        <v>0</v>
      </c>
      <c r="BI232">
        <v>0</v>
      </c>
      <c r="BL232" t="s">
        <v>130</v>
      </c>
      <c r="BM232">
        <v>1</v>
      </c>
      <c r="BN232">
        <v>0</v>
      </c>
      <c r="BO232">
        <v>0</v>
      </c>
      <c r="BP232">
        <v>0</v>
      </c>
      <c r="BT232">
        <v>0</v>
      </c>
      <c r="BU232">
        <v>0</v>
      </c>
      <c r="CE232" t="str">
        <f>"20:17:43.378"</f>
        <v>20:17:43.378</v>
      </c>
      <c r="CF232">
        <v>377953224</v>
      </c>
      <c r="CS232">
        <v>0</v>
      </c>
      <c r="CT232">
        <v>2</v>
      </c>
      <c r="CU232">
        <v>0</v>
      </c>
      <c r="CV232">
        <v>2</v>
      </c>
      <c r="CW232">
        <v>0</v>
      </c>
      <c r="CX232">
        <v>1</v>
      </c>
      <c r="CY232">
        <v>7</v>
      </c>
      <c r="CZ232" t="s">
        <v>131</v>
      </c>
      <c r="DA232">
        <v>116</v>
      </c>
      <c r="DB232">
        <v>3</v>
      </c>
      <c r="DC232" t="s">
        <v>132</v>
      </c>
      <c r="DD232" t="s">
        <v>133</v>
      </c>
      <c r="DG232">
        <v>8141520</v>
      </c>
      <c r="DI232">
        <v>0</v>
      </c>
      <c r="DJ232">
        <v>1</v>
      </c>
      <c r="DK232">
        <v>1</v>
      </c>
      <c r="DL232">
        <v>0</v>
      </c>
      <c r="DM232">
        <v>0</v>
      </c>
      <c r="DN232">
        <v>0</v>
      </c>
      <c r="DO232">
        <v>0</v>
      </c>
      <c r="DP232">
        <v>1</v>
      </c>
      <c r="DQ232">
        <v>0</v>
      </c>
      <c r="DR232">
        <v>0</v>
      </c>
      <c r="DS232">
        <v>1</v>
      </c>
    </row>
    <row r="233" spans="1:123" x14ac:dyDescent="0.25">
      <c r="A233" t="str">
        <f>"11/29/2023 20:17:43.835"</f>
        <v>11/29/2023 20:17:43.835</v>
      </c>
      <c r="C233" t="str">
        <f t="shared" si="36"/>
        <v>FFDF53C0</v>
      </c>
      <c r="D233" t="s">
        <v>123</v>
      </c>
      <c r="E233">
        <v>14</v>
      </c>
      <c r="F233">
        <v>1014</v>
      </c>
      <c r="G233" t="s">
        <v>124</v>
      </c>
      <c r="J233" t="s">
        <v>125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"20:17:43.375"</f>
        <v>20:17:43.375</v>
      </c>
      <c r="T233" t="str">
        <f>"20:17:42.975"</f>
        <v>20:17:42.975</v>
      </c>
      <c r="U233" t="str">
        <f t="shared" si="29"/>
        <v>AA0632</v>
      </c>
      <c r="V233">
        <v>0</v>
      </c>
      <c r="W233">
        <v>0</v>
      </c>
      <c r="X233">
        <v>2</v>
      </c>
      <c r="Y233">
        <v>0</v>
      </c>
      <c r="AA233">
        <v>0</v>
      </c>
      <c r="AB233">
        <v>9</v>
      </c>
      <c r="AC233">
        <v>3</v>
      </c>
      <c r="AD233">
        <v>0</v>
      </c>
      <c r="AE233">
        <v>10</v>
      </c>
      <c r="AF233" t="s">
        <v>126</v>
      </c>
      <c r="AG233">
        <v>0</v>
      </c>
      <c r="AH233">
        <v>0</v>
      </c>
      <c r="AI233">
        <v>2</v>
      </c>
      <c r="AJ233">
        <v>0</v>
      </c>
      <c r="AK233" t="s">
        <v>253</v>
      </c>
      <c r="AL233">
        <v>31.96058</v>
      </c>
      <c r="AM233" t="s">
        <v>252</v>
      </c>
      <c r="AN233">
        <v>-101.16492</v>
      </c>
      <c r="AQ233" t="s">
        <v>129</v>
      </c>
      <c r="AR233">
        <v>6</v>
      </c>
      <c r="AS233">
        <v>-7</v>
      </c>
      <c r="AT233">
        <v>-256</v>
      </c>
      <c r="BB233" t="str">
        <f t="shared" si="30"/>
        <v>1200</v>
      </c>
      <c r="BC233">
        <v>1</v>
      </c>
      <c r="BD233" t="str">
        <f t="shared" si="34"/>
        <v xml:space="preserve">N745MB  </v>
      </c>
      <c r="BE233">
        <v>1</v>
      </c>
      <c r="BG233">
        <v>0</v>
      </c>
      <c r="BH233">
        <v>0</v>
      </c>
      <c r="BI233">
        <v>0</v>
      </c>
      <c r="BL233" t="s">
        <v>130</v>
      </c>
      <c r="BM233">
        <v>1</v>
      </c>
      <c r="BN233">
        <v>0</v>
      </c>
      <c r="BO233">
        <v>0</v>
      </c>
      <c r="BP233">
        <v>0</v>
      </c>
      <c r="BT233">
        <v>0</v>
      </c>
      <c r="BU233">
        <v>0</v>
      </c>
      <c r="CE233" t="str">
        <f>"20:17:43.378"</f>
        <v>20:17:43.378</v>
      </c>
      <c r="CF233">
        <v>377953224</v>
      </c>
      <c r="CS233">
        <v>0</v>
      </c>
      <c r="CT233">
        <v>2</v>
      </c>
      <c r="CU233">
        <v>0</v>
      </c>
      <c r="CV233">
        <v>2</v>
      </c>
      <c r="CW233">
        <v>0</v>
      </c>
      <c r="CX233">
        <v>1</v>
      </c>
      <c r="CY233">
        <v>7</v>
      </c>
      <c r="CZ233" t="s">
        <v>131</v>
      </c>
      <c r="DA233">
        <v>116</v>
      </c>
      <c r="DB233">
        <v>3</v>
      </c>
      <c r="DC233" t="s">
        <v>132</v>
      </c>
      <c r="DD233" t="s">
        <v>133</v>
      </c>
      <c r="DG233">
        <v>8141520</v>
      </c>
      <c r="DI233">
        <v>0</v>
      </c>
      <c r="DJ233">
        <v>1</v>
      </c>
      <c r="DK233">
        <v>1</v>
      </c>
      <c r="DL233">
        <v>0</v>
      </c>
      <c r="DM233">
        <v>0</v>
      </c>
      <c r="DN233">
        <v>0</v>
      </c>
      <c r="DO233">
        <v>0</v>
      </c>
      <c r="DP233">
        <v>1</v>
      </c>
      <c r="DQ233">
        <v>0</v>
      </c>
      <c r="DR233">
        <v>0</v>
      </c>
      <c r="DS233">
        <v>1</v>
      </c>
    </row>
    <row r="234" spans="1:123" x14ac:dyDescent="0.25">
      <c r="A234" t="str">
        <f>"11/29/2023 20:17:43.835"</f>
        <v>11/29/2023 20:17:43.835</v>
      </c>
      <c r="C234" t="str">
        <f t="shared" si="36"/>
        <v>FFDF53C0</v>
      </c>
      <c r="D234" t="s">
        <v>123</v>
      </c>
      <c r="E234">
        <v>1</v>
      </c>
      <c r="F234">
        <v>1001</v>
      </c>
      <c r="G234" t="s">
        <v>134</v>
      </c>
      <c r="J234" t="s">
        <v>125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"20:17:43.375"</f>
        <v>20:17:43.375</v>
      </c>
      <c r="T234" t="str">
        <f>"20:17:42.975"</f>
        <v>20:17:42.975</v>
      </c>
      <c r="U234" t="str">
        <f t="shared" si="29"/>
        <v>AA0632</v>
      </c>
      <c r="V234">
        <v>0</v>
      </c>
      <c r="W234">
        <v>0</v>
      </c>
      <c r="X234">
        <v>2</v>
      </c>
      <c r="Y234">
        <v>0</v>
      </c>
      <c r="AA234">
        <v>0</v>
      </c>
      <c r="AB234">
        <v>9</v>
      </c>
      <c r="AC234">
        <v>3</v>
      </c>
      <c r="AD234">
        <v>0</v>
      </c>
      <c r="AE234">
        <v>10</v>
      </c>
      <c r="AF234" t="s">
        <v>126</v>
      </c>
      <c r="AG234">
        <v>0</v>
      </c>
      <c r="AH234">
        <v>0</v>
      </c>
      <c r="AI234">
        <v>2</v>
      </c>
      <c r="AJ234">
        <v>0</v>
      </c>
      <c r="AK234" t="s">
        <v>253</v>
      </c>
      <c r="AL234">
        <v>31.96058</v>
      </c>
      <c r="AM234" t="s">
        <v>252</v>
      </c>
      <c r="AN234">
        <v>-101.16492</v>
      </c>
      <c r="AQ234" t="s">
        <v>129</v>
      </c>
      <c r="AR234">
        <v>6</v>
      </c>
      <c r="AS234">
        <v>-7</v>
      </c>
      <c r="AT234">
        <v>-256</v>
      </c>
      <c r="BB234" t="str">
        <f t="shared" si="30"/>
        <v>1200</v>
      </c>
      <c r="BC234">
        <v>1</v>
      </c>
      <c r="BD234" t="str">
        <f t="shared" si="34"/>
        <v xml:space="preserve">N745MB  </v>
      </c>
      <c r="BE234">
        <v>1</v>
      </c>
      <c r="BG234">
        <v>0</v>
      </c>
      <c r="BH234">
        <v>0</v>
      </c>
      <c r="BI234">
        <v>0</v>
      </c>
      <c r="BL234" t="s">
        <v>130</v>
      </c>
      <c r="BM234">
        <v>1</v>
      </c>
      <c r="BN234">
        <v>0</v>
      </c>
      <c r="BO234">
        <v>0</v>
      </c>
      <c r="BP234">
        <v>0</v>
      </c>
      <c r="BT234">
        <v>0</v>
      </c>
      <c r="BU234">
        <v>0</v>
      </c>
      <c r="CE234" t="str">
        <f>"20:17:43.378"</f>
        <v>20:17:43.378</v>
      </c>
      <c r="CF234">
        <v>377953224</v>
      </c>
      <c r="CS234">
        <v>0</v>
      </c>
      <c r="CT234">
        <v>2</v>
      </c>
      <c r="CU234">
        <v>0</v>
      </c>
      <c r="CV234">
        <v>2</v>
      </c>
      <c r="CW234">
        <v>0</v>
      </c>
      <c r="CX234">
        <v>1</v>
      </c>
      <c r="CY234">
        <v>7</v>
      </c>
      <c r="CZ234" t="s">
        <v>131</v>
      </c>
      <c r="DA234">
        <v>116</v>
      </c>
      <c r="DB234">
        <v>3</v>
      </c>
      <c r="DC234" t="s">
        <v>132</v>
      </c>
      <c r="DD234" t="s">
        <v>133</v>
      </c>
      <c r="DG234">
        <v>8141520</v>
      </c>
      <c r="DI234">
        <v>0</v>
      </c>
      <c r="DJ234">
        <v>1</v>
      </c>
      <c r="DK234">
        <v>1</v>
      </c>
      <c r="DL234">
        <v>0</v>
      </c>
      <c r="DM234">
        <v>0</v>
      </c>
      <c r="DN234">
        <v>0</v>
      </c>
      <c r="DO234">
        <v>0</v>
      </c>
      <c r="DP234">
        <v>1</v>
      </c>
      <c r="DQ234">
        <v>0</v>
      </c>
      <c r="DR234">
        <v>0</v>
      </c>
      <c r="DS234">
        <v>1</v>
      </c>
    </row>
    <row r="235" spans="1:123" x14ac:dyDescent="0.25">
      <c r="A235" t="str">
        <f>"11/29/2023 20:17:44.835"</f>
        <v>11/29/2023 20:17:44.835</v>
      </c>
      <c r="C235" t="str">
        <f t="shared" si="36"/>
        <v>FFDF53C0</v>
      </c>
      <c r="D235" t="s">
        <v>123</v>
      </c>
      <c r="E235">
        <v>1</v>
      </c>
      <c r="F235">
        <v>1001</v>
      </c>
      <c r="G235" t="s">
        <v>134</v>
      </c>
      <c r="J235" t="s">
        <v>125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"20:17:44.398"</f>
        <v>20:17:44.398</v>
      </c>
      <c r="T235" t="str">
        <f>"20:17:43.898"</f>
        <v>20:17:43.898</v>
      </c>
      <c r="U235" t="str">
        <f t="shared" si="29"/>
        <v>AA0632</v>
      </c>
      <c r="V235">
        <v>0</v>
      </c>
      <c r="W235">
        <v>0</v>
      </c>
      <c r="X235">
        <v>2</v>
      </c>
      <c r="Y235">
        <v>0</v>
      </c>
      <c r="AA235">
        <v>0</v>
      </c>
      <c r="AB235">
        <v>9</v>
      </c>
      <c r="AC235">
        <v>3</v>
      </c>
      <c r="AD235">
        <v>0</v>
      </c>
      <c r="AE235">
        <v>10</v>
      </c>
      <c r="AF235" t="s">
        <v>126</v>
      </c>
      <c r="AG235">
        <v>0</v>
      </c>
      <c r="AH235">
        <v>0</v>
      </c>
      <c r="AI235">
        <v>2</v>
      </c>
      <c r="AJ235">
        <v>0</v>
      </c>
      <c r="AK235" t="s">
        <v>254</v>
      </c>
      <c r="AL235">
        <v>31.960536999999999</v>
      </c>
      <c r="AM235" t="s">
        <v>255</v>
      </c>
      <c r="AN235">
        <v>-101.164856</v>
      </c>
      <c r="AQ235" t="s">
        <v>129</v>
      </c>
      <c r="AR235">
        <v>5</v>
      </c>
      <c r="AS235">
        <v>-5</v>
      </c>
      <c r="AT235">
        <v>-192</v>
      </c>
      <c r="BB235" t="str">
        <f t="shared" si="30"/>
        <v>1200</v>
      </c>
      <c r="BC235">
        <v>1</v>
      </c>
      <c r="BD235" t="str">
        <f t="shared" si="34"/>
        <v xml:space="preserve">N745MB  </v>
      </c>
      <c r="BE235">
        <v>1</v>
      </c>
      <c r="BG235">
        <v>0</v>
      </c>
      <c r="BH235">
        <v>0</v>
      </c>
      <c r="BI235">
        <v>0</v>
      </c>
      <c r="BL235" t="s">
        <v>130</v>
      </c>
      <c r="BM235">
        <v>1</v>
      </c>
      <c r="BN235">
        <v>0</v>
      </c>
      <c r="BO235">
        <v>0</v>
      </c>
      <c r="BP235">
        <v>0</v>
      </c>
      <c r="BT235">
        <v>0</v>
      </c>
      <c r="BU235">
        <v>0</v>
      </c>
      <c r="CE235" t="str">
        <f>"20:17:44.404"</f>
        <v>20:17:44.404</v>
      </c>
      <c r="CF235">
        <v>403880810</v>
      </c>
      <c r="CS235">
        <v>0</v>
      </c>
      <c r="CT235">
        <v>2</v>
      </c>
      <c r="CU235">
        <v>0</v>
      </c>
      <c r="CV235">
        <v>2</v>
      </c>
      <c r="CW235">
        <v>0</v>
      </c>
      <c r="CX235">
        <v>1</v>
      </c>
      <c r="CY235">
        <v>7</v>
      </c>
      <c r="CZ235" t="s">
        <v>131</v>
      </c>
      <c r="DA235">
        <v>116</v>
      </c>
      <c r="DB235">
        <v>3</v>
      </c>
      <c r="DC235" t="s">
        <v>132</v>
      </c>
      <c r="DD235" t="s">
        <v>133</v>
      </c>
      <c r="DG235">
        <v>8142049</v>
      </c>
      <c r="DI235">
        <v>0</v>
      </c>
      <c r="DJ235">
        <v>1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1</v>
      </c>
      <c r="DQ235">
        <v>0</v>
      </c>
      <c r="DR235">
        <v>0</v>
      </c>
      <c r="DS235">
        <v>1</v>
      </c>
    </row>
    <row r="236" spans="1:123" x14ac:dyDescent="0.25">
      <c r="A236" t="str">
        <f>"11/29/2023 20:17:44.835"</f>
        <v>11/29/2023 20:17:44.835</v>
      </c>
      <c r="C236" t="str">
        <f t="shared" si="36"/>
        <v>FFDF53C0</v>
      </c>
      <c r="D236" t="s">
        <v>135</v>
      </c>
      <c r="E236">
        <v>31</v>
      </c>
      <c r="H236">
        <v>285</v>
      </c>
      <c r="I236" t="s">
        <v>136</v>
      </c>
      <c r="J236" t="s">
        <v>137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"20:17:44.398"</f>
        <v>20:17:44.398</v>
      </c>
      <c r="T236" t="str">
        <f>"20:17:43.898"</f>
        <v>20:17:43.898</v>
      </c>
      <c r="U236" t="str">
        <f t="shared" si="29"/>
        <v>AA0632</v>
      </c>
      <c r="V236">
        <v>0</v>
      </c>
      <c r="W236">
        <v>0</v>
      </c>
      <c r="X236">
        <v>2</v>
      </c>
      <c r="Y236">
        <v>0</v>
      </c>
      <c r="AA236">
        <v>0</v>
      </c>
      <c r="AB236">
        <v>9</v>
      </c>
      <c r="AC236">
        <v>3</v>
      </c>
      <c r="AD236">
        <v>0</v>
      </c>
      <c r="AE236">
        <v>10</v>
      </c>
      <c r="AF236" t="s">
        <v>126</v>
      </c>
      <c r="AG236">
        <v>0</v>
      </c>
      <c r="AH236">
        <v>0</v>
      </c>
      <c r="AI236">
        <v>2</v>
      </c>
      <c r="AJ236">
        <v>0</v>
      </c>
      <c r="AK236" t="s">
        <v>254</v>
      </c>
      <c r="AL236">
        <v>31.960536999999999</v>
      </c>
      <c r="AM236" t="s">
        <v>255</v>
      </c>
      <c r="AN236">
        <v>-101.164856</v>
      </c>
      <c r="AQ236" t="s">
        <v>129</v>
      </c>
      <c r="AR236">
        <v>5</v>
      </c>
      <c r="AS236">
        <v>-5</v>
      </c>
      <c r="AT236">
        <v>-192</v>
      </c>
      <c r="BB236" t="str">
        <f t="shared" si="30"/>
        <v>1200</v>
      </c>
      <c r="BC236">
        <v>1</v>
      </c>
      <c r="BD236" t="str">
        <f t="shared" si="34"/>
        <v xml:space="preserve">N745MB  </v>
      </c>
      <c r="BE236">
        <v>1</v>
      </c>
      <c r="BG236">
        <v>0</v>
      </c>
      <c r="BH236">
        <v>0</v>
      </c>
      <c r="BI236">
        <v>0</v>
      </c>
      <c r="BL236" t="s">
        <v>130</v>
      </c>
      <c r="BM236">
        <v>1</v>
      </c>
      <c r="BN236">
        <v>0</v>
      </c>
      <c r="BO236">
        <v>0</v>
      </c>
      <c r="BP236">
        <v>0</v>
      </c>
      <c r="BT236">
        <v>0</v>
      </c>
      <c r="BU236">
        <v>0</v>
      </c>
      <c r="CE236" t="str">
        <f>"20:17:44.404"</f>
        <v>20:17:44.404</v>
      </c>
      <c r="CF236">
        <v>403880810</v>
      </c>
      <c r="CS236">
        <v>0</v>
      </c>
      <c r="CT236">
        <v>2</v>
      </c>
      <c r="CU236">
        <v>0</v>
      </c>
      <c r="CV236">
        <v>2</v>
      </c>
      <c r="CW236">
        <v>0</v>
      </c>
      <c r="CX236">
        <v>1</v>
      </c>
      <c r="CY236">
        <v>7</v>
      </c>
      <c r="CZ236" t="s">
        <v>131</v>
      </c>
      <c r="DA236">
        <v>116</v>
      </c>
      <c r="DB236">
        <v>3</v>
      </c>
      <c r="DC236" t="s">
        <v>132</v>
      </c>
      <c r="DD236" t="s">
        <v>133</v>
      </c>
      <c r="DG236">
        <v>8142049</v>
      </c>
      <c r="DI236">
        <v>0</v>
      </c>
      <c r="DJ236">
        <v>1</v>
      </c>
      <c r="DK236">
        <v>1</v>
      </c>
      <c r="DL236">
        <v>0</v>
      </c>
      <c r="DM236">
        <v>0</v>
      </c>
      <c r="DN236">
        <v>0</v>
      </c>
      <c r="DO236">
        <v>0</v>
      </c>
      <c r="DP236">
        <v>1</v>
      </c>
      <c r="DQ236">
        <v>0</v>
      </c>
      <c r="DR236">
        <v>0</v>
      </c>
      <c r="DS236">
        <v>1</v>
      </c>
    </row>
    <row r="237" spans="1:123" x14ac:dyDescent="0.25">
      <c r="A237" t="str">
        <f>"11/29/2023 20:17:44.835"</f>
        <v>11/29/2023 20:17:44.835</v>
      </c>
      <c r="C237" t="str">
        <f t="shared" si="36"/>
        <v>FFDF53C0</v>
      </c>
      <c r="D237" t="s">
        <v>123</v>
      </c>
      <c r="E237">
        <v>14</v>
      </c>
      <c r="F237">
        <v>1014</v>
      </c>
      <c r="G237" t="s">
        <v>124</v>
      </c>
      <c r="J237" t="s">
        <v>125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"20:17:44.398"</f>
        <v>20:17:44.398</v>
      </c>
      <c r="T237" t="str">
        <f>"20:17:43.898"</f>
        <v>20:17:43.898</v>
      </c>
      <c r="U237" t="str">
        <f t="shared" si="29"/>
        <v>AA0632</v>
      </c>
      <c r="V237">
        <v>0</v>
      </c>
      <c r="W237">
        <v>0</v>
      </c>
      <c r="X237">
        <v>2</v>
      </c>
      <c r="Y237">
        <v>0</v>
      </c>
      <c r="AA237">
        <v>0</v>
      </c>
      <c r="AB237">
        <v>9</v>
      </c>
      <c r="AC237">
        <v>3</v>
      </c>
      <c r="AD237">
        <v>0</v>
      </c>
      <c r="AE237">
        <v>10</v>
      </c>
      <c r="AF237" t="s">
        <v>126</v>
      </c>
      <c r="AG237">
        <v>0</v>
      </c>
      <c r="AH237">
        <v>0</v>
      </c>
      <c r="AI237">
        <v>2</v>
      </c>
      <c r="AJ237">
        <v>0</v>
      </c>
      <c r="AK237" t="s">
        <v>254</v>
      </c>
      <c r="AL237">
        <v>31.960536999999999</v>
      </c>
      <c r="AM237" t="s">
        <v>255</v>
      </c>
      <c r="AN237">
        <v>-101.164856</v>
      </c>
      <c r="AQ237" t="s">
        <v>129</v>
      </c>
      <c r="AR237">
        <v>5</v>
      </c>
      <c r="AS237">
        <v>-5</v>
      </c>
      <c r="AT237">
        <v>-192</v>
      </c>
      <c r="BB237" t="str">
        <f t="shared" si="30"/>
        <v>1200</v>
      </c>
      <c r="BC237">
        <v>1</v>
      </c>
      <c r="BD237" t="str">
        <f t="shared" si="34"/>
        <v xml:space="preserve">N745MB  </v>
      </c>
      <c r="BE237">
        <v>1</v>
      </c>
      <c r="BG237">
        <v>0</v>
      </c>
      <c r="BH237">
        <v>0</v>
      </c>
      <c r="BI237">
        <v>0</v>
      </c>
      <c r="BL237" t="s">
        <v>130</v>
      </c>
      <c r="BM237">
        <v>1</v>
      </c>
      <c r="BN237">
        <v>0</v>
      </c>
      <c r="BO237">
        <v>0</v>
      </c>
      <c r="BP237">
        <v>0</v>
      </c>
      <c r="BT237">
        <v>0</v>
      </c>
      <c r="BU237">
        <v>0</v>
      </c>
      <c r="CE237" t="str">
        <f>"20:17:44.404"</f>
        <v>20:17:44.404</v>
      </c>
      <c r="CF237">
        <v>403880810</v>
      </c>
      <c r="CS237">
        <v>0</v>
      </c>
      <c r="CT237">
        <v>2</v>
      </c>
      <c r="CU237">
        <v>0</v>
      </c>
      <c r="CV237">
        <v>2</v>
      </c>
      <c r="CW237">
        <v>0</v>
      </c>
      <c r="CX237">
        <v>1</v>
      </c>
      <c r="CY237">
        <v>7</v>
      </c>
      <c r="CZ237" t="s">
        <v>131</v>
      </c>
      <c r="DA237">
        <v>116</v>
      </c>
      <c r="DB237">
        <v>3</v>
      </c>
      <c r="DC237" t="s">
        <v>132</v>
      </c>
      <c r="DD237" t="s">
        <v>133</v>
      </c>
      <c r="DG237">
        <v>8142049</v>
      </c>
      <c r="DI237">
        <v>0</v>
      </c>
      <c r="DJ237">
        <v>1</v>
      </c>
      <c r="DK237">
        <v>1</v>
      </c>
      <c r="DL237">
        <v>0</v>
      </c>
      <c r="DM237">
        <v>0</v>
      </c>
      <c r="DN237">
        <v>0</v>
      </c>
      <c r="DO237">
        <v>0</v>
      </c>
      <c r="DP237">
        <v>1</v>
      </c>
      <c r="DQ237">
        <v>0</v>
      </c>
      <c r="DR237">
        <v>0</v>
      </c>
      <c r="DS237">
        <v>1</v>
      </c>
    </row>
    <row r="238" spans="1:123" x14ac:dyDescent="0.25">
      <c r="A238" t="str">
        <f>"11/29/2023 20:17:44.835"</f>
        <v>11/29/2023 20:17:44.835</v>
      </c>
      <c r="C238" t="str">
        <f t="shared" si="36"/>
        <v>FFDF53C0</v>
      </c>
      <c r="D238" t="s">
        <v>138</v>
      </c>
      <c r="E238">
        <v>3</v>
      </c>
      <c r="H238">
        <v>160</v>
      </c>
      <c r="I238" t="s">
        <v>124</v>
      </c>
      <c r="J238" t="s">
        <v>139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"20:17:44.398"</f>
        <v>20:17:44.398</v>
      </c>
      <c r="T238" t="str">
        <f>"20:17:43.898"</f>
        <v>20:17:43.898</v>
      </c>
      <c r="U238" t="str">
        <f t="shared" si="29"/>
        <v>AA0632</v>
      </c>
      <c r="V238">
        <v>0</v>
      </c>
      <c r="W238">
        <v>0</v>
      </c>
      <c r="X238">
        <v>2</v>
      </c>
      <c r="Y238">
        <v>0</v>
      </c>
      <c r="AA238">
        <v>0</v>
      </c>
      <c r="AB238">
        <v>9</v>
      </c>
      <c r="AC238">
        <v>3</v>
      </c>
      <c r="AD238">
        <v>0</v>
      </c>
      <c r="AE238">
        <v>10</v>
      </c>
      <c r="AF238" t="s">
        <v>126</v>
      </c>
      <c r="AG238">
        <v>0</v>
      </c>
      <c r="AH238">
        <v>0</v>
      </c>
      <c r="AI238">
        <v>2</v>
      </c>
      <c r="AJ238">
        <v>0</v>
      </c>
      <c r="AK238" t="s">
        <v>254</v>
      </c>
      <c r="AL238">
        <v>31.960536999999999</v>
      </c>
      <c r="AM238" t="s">
        <v>255</v>
      </c>
      <c r="AN238">
        <v>-101.164856</v>
      </c>
      <c r="AQ238" t="s">
        <v>129</v>
      </c>
      <c r="AR238">
        <v>5</v>
      </c>
      <c r="AS238">
        <v>-5</v>
      </c>
      <c r="AT238">
        <v>-192</v>
      </c>
      <c r="BB238" t="str">
        <f t="shared" si="30"/>
        <v>1200</v>
      </c>
      <c r="BC238">
        <v>1</v>
      </c>
      <c r="BD238" t="str">
        <f t="shared" si="34"/>
        <v xml:space="preserve">N745MB  </v>
      </c>
      <c r="BE238">
        <v>1</v>
      </c>
      <c r="BG238">
        <v>0</v>
      </c>
      <c r="BH238">
        <v>0</v>
      </c>
      <c r="BI238">
        <v>0</v>
      </c>
      <c r="BL238" t="s">
        <v>130</v>
      </c>
      <c r="BM238">
        <v>1</v>
      </c>
      <c r="BN238">
        <v>0</v>
      </c>
      <c r="BO238">
        <v>0</v>
      </c>
      <c r="BP238">
        <v>0</v>
      </c>
      <c r="BT238">
        <v>0</v>
      </c>
      <c r="BU238">
        <v>0</v>
      </c>
      <c r="CE238" t="str">
        <f>"20:17:44.404"</f>
        <v>20:17:44.404</v>
      </c>
      <c r="CF238">
        <v>403880810</v>
      </c>
      <c r="CS238">
        <v>0</v>
      </c>
      <c r="CT238">
        <v>2</v>
      </c>
      <c r="CU238">
        <v>0</v>
      </c>
      <c r="CV238">
        <v>2</v>
      </c>
      <c r="CW238">
        <v>0</v>
      </c>
      <c r="CX238">
        <v>1</v>
      </c>
      <c r="CY238">
        <v>7</v>
      </c>
      <c r="CZ238" t="s">
        <v>131</v>
      </c>
      <c r="DA238">
        <v>116</v>
      </c>
      <c r="DB238">
        <v>3</v>
      </c>
      <c r="DC238" t="s">
        <v>132</v>
      </c>
      <c r="DD238" t="s">
        <v>133</v>
      </c>
      <c r="DG238">
        <v>8142049</v>
      </c>
      <c r="DI238">
        <v>0</v>
      </c>
      <c r="DJ238">
        <v>1</v>
      </c>
      <c r="DK238">
        <v>1</v>
      </c>
      <c r="DL238">
        <v>0</v>
      </c>
      <c r="DM238">
        <v>0</v>
      </c>
      <c r="DN238">
        <v>0</v>
      </c>
      <c r="DO238">
        <v>0</v>
      </c>
      <c r="DP238">
        <v>1</v>
      </c>
      <c r="DQ238">
        <v>0</v>
      </c>
      <c r="DR238">
        <v>0</v>
      </c>
      <c r="DS238">
        <v>1</v>
      </c>
    </row>
    <row r="239" spans="1:123" x14ac:dyDescent="0.25">
      <c r="A239" t="str">
        <f>"11/29/2023 20:20:10.539"</f>
        <v>11/29/2023 20:20:10.539</v>
      </c>
      <c r="C239" t="str">
        <f t="shared" si="36"/>
        <v>FFDF53C0</v>
      </c>
      <c r="D239" t="s">
        <v>138</v>
      </c>
      <c r="E239">
        <v>3</v>
      </c>
      <c r="H239">
        <v>160</v>
      </c>
      <c r="I239" t="s">
        <v>124</v>
      </c>
      <c r="J239" t="s">
        <v>139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"20:20:09.984"</f>
        <v>20:20:09.984</v>
      </c>
      <c r="T239" t="str">
        <f>"20:20:09.884"</f>
        <v>20:20:09.884</v>
      </c>
      <c r="U239" t="str">
        <f t="shared" si="29"/>
        <v>AA0632</v>
      </c>
      <c r="V239">
        <v>0</v>
      </c>
      <c r="W239">
        <v>0</v>
      </c>
      <c r="X239">
        <v>2</v>
      </c>
      <c r="Y239">
        <v>0</v>
      </c>
      <c r="AA239">
        <v>0</v>
      </c>
      <c r="AB239">
        <v>9</v>
      </c>
      <c r="AC239">
        <v>3</v>
      </c>
      <c r="AD239">
        <v>0</v>
      </c>
      <c r="AE239">
        <v>10</v>
      </c>
      <c r="AF239" t="s">
        <v>126</v>
      </c>
      <c r="AG239">
        <v>0</v>
      </c>
      <c r="AH239">
        <v>0</v>
      </c>
      <c r="AI239">
        <v>2</v>
      </c>
      <c r="AJ239">
        <v>0</v>
      </c>
      <c r="AK239" t="s">
        <v>256</v>
      </c>
      <c r="AL239">
        <v>31.960343999999999</v>
      </c>
      <c r="AM239" t="s">
        <v>257</v>
      </c>
      <c r="AN239">
        <v>-101.14889100000001</v>
      </c>
      <c r="AQ239" t="s">
        <v>129</v>
      </c>
      <c r="AR239">
        <v>82</v>
      </c>
      <c r="AS239">
        <v>-1</v>
      </c>
      <c r="AT239">
        <v>512</v>
      </c>
      <c r="BB239" t="str">
        <f t="shared" si="30"/>
        <v>1200</v>
      </c>
      <c r="BC239">
        <v>0</v>
      </c>
      <c r="BD239" t="str">
        <f t="shared" si="34"/>
        <v xml:space="preserve">N745MB  </v>
      </c>
      <c r="BE239">
        <v>1</v>
      </c>
      <c r="BG239">
        <v>0</v>
      </c>
      <c r="BH239">
        <v>0</v>
      </c>
      <c r="BI239">
        <v>0</v>
      </c>
      <c r="BL239" t="s">
        <v>130</v>
      </c>
      <c r="BM239">
        <v>1</v>
      </c>
      <c r="BN239">
        <v>0</v>
      </c>
      <c r="BO239">
        <v>0</v>
      </c>
      <c r="BP239">
        <v>0</v>
      </c>
      <c r="BT239">
        <v>0</v>
      </c>
      <c r="BU239">
        <v>0</v>
      </c>
      <c r="CE239" t="str">
        <f>"20:20:09.988"</f>
        <v>20:20:09.988</v>
      </c>
      <c r="CF239">
        <v>987890715</v>
      </c>
      <c r="CS239">
        <v>0</v>
      </c>
      <c r="CT239">
        <v>2</v>
      </c>
      <c r="CU239">
        <v>0</v>
      </c>
      <c r="CV239">
        <v>2</v>
      </c>
      <c r="CW239">
        <v>0</v>
      </c>
      <c r="CX239">
        <v>2</v>
      </c>
      <c r="CY239">
        <v>7</v>
      </c>
      <c r="CZ239" t="s">
        <v>131</v>
      </c>
      <c r="DA239">
        <v>116</v>
      </c>
      <c r="DB239">
        <v>3</v>
      </c>
      <c r="DC239" t="s">
        <v>132</v>
      </c>
      <c r="DD239" t="s">
        <v>133</v>
      </c>
      <c r="DG239">
        <v>8222860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1</v>
      </c>
      <c r="DQ239">
        <v>0</v>
      </c>
      <c r="DR239">
        <v>0</v>
      </c>
      <c r="DS239">
        <v>1</v>
      </c>
    </row>
    <row r="240" spans="1:123" x14ac:dyDescent="0.25">
      <c r="A240" t="str">
        <f>"11/29/2023 20:20:12.289"</f>
        <v>11/29/2023 20:20:12.289</v>
      </c>
      <c r="C240" t="str">
        <f t="shared" si="36"/>
        <v>FFDF53C0</v>
      </c>
      <c r="D240" t="s">
        <v>138</v>
      </c>
      <c r="E240">
        <v>3</v>
      </c>
      <c r="H240">
        <v>160</v>
      </c>
      <c r="I240" t="s">
        <v>124</v>
      </c>
      <c r="J240" t="s">
        <v>139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"20:20:11.711"</f>
        <v>20:20:11.711</v>
      </c>
      <c r="T240" t="str">
        <f>"20:20:10.811"</f>
        <v>20:20:10.811</v>
      </c>
      <c r="U240" t="str">
        <f t="shared" si="29"/>
        <v>AA0632</v>
      </c>
      <c r="V240">
        <v>0</v>
      </c>
      <c r="W240">
        <v>0</v>
      </c>
      <c r="X240">
        <v>2</v>
      </c>
      <c r="Y240">
        <v>0</v>
      </c>
      <c r="AA240">
        <v>0</v>
      </c>
      <c r="AB240">
        <v>9</v>
      </c>
      <c r="AC240">
        <v>3</v>
      </c>
      <c r="AD240">
        <v>0</v>
      </c>
      <c r="AE240">
        <v>10</v>
      </c>
      <c r="AF240" t="s">
        <v>126</v>
      </c>
      <c r="AG240">
        <v>0</v>
      </c>
      <c r="AH240">
        <v>0</v>
      </c>
      <c r="AI240">
        <v>2</v>
      </c>
      <c r="AJ240">
        <v>0</v>
      </c>
      <c r="AK240" t="s">
        <v>256</v>
      </c>
      <c r="AL240">
        <v>31.960343999999999</v>
      </c>
      <c r="AM240" t="s">
        <v>258</v>
      </c>
      <c r="AN240">
        <v>-101.148098</v>
      </c>
      <c r="AQ240" t="s">
        <v>129</v>
      </c>
      <c r="AR240">
        <v>82</v>
      </c>
      <c r="AS240">
        <v>0</v>
      </c>
      <c r="AT240">
        <v>448</v>
      </c>
      <c r="BB240" t="str">
        <f t="shared" si="30"/>
        <v>1200</v>
      </c>
      <c r="BC240">
        <v>0</v>
      </c>
      <c r="BD240" t="str">
        <f t="shared" si="34"/>
        <v xml:space="preserve">N745MB  </v>
      </c>
      <c r="BE240">
        <v>1</v>
      </c>
      <c r="BG240">
        <v>0</v>
      </c>
      <c r="BH240">
        <v>0</v>
      </c>
      <c r="BI240">
        <v>0</v>
      </c>
      <c r="BL240" t="s">
        <v>130</v>
      </c>
      <c r="BM240">
        <v>1</v>
      </c>
      <c r="BN240">
        <v>0</v>
      </c>
      <c r="BO240">
        <v>0</v>
      </c>
      <c r="BP240">
        <v>0</v>
      </c>
      <c r="BT240">
        <v>0</v>
      </c>
      <c r="BU240">
        <v>0</v>
      </c>
      <c r="CE240" t="str">
        <f>"20:20:11.714"</f>
        <v>20:20:11.714</v>
      </c>
      <c r="CF240">
        <v>713772445</v>
      </c>
      <c r="CS240">
        <v>0</v>
      </c>
      <c r="CT240">
        <v>2</v>
      </c>
      <c r="CU240">
        <v>0</v>
      </c>
      <c r="CV240">
        <v>2</v>
      </c>
      <c r="CW240">
        <v>0</v>
      </c>
      <c r="CX240">
        <v>2</v>
      </c>
      <c r="CY240">
        <v>7</v>
      </c>
      <c r="CZ240" t="s">
        <v>131</v>
      </c>
      <c r="DA240">
        <v>116</v>
      </c>
      <c r="DB240">
        <v>3</v>
      </c>
      <c r="DC240" t="s">
        <v>132</v>
      </c>
      <c r="DD240" t="s">
        <v>133</v>
      </c>
      <c r="DG240">
        <v>8223884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1</v>
      </c>
      <c r="DQ240">
        <v>0</v>
      </c>
      <c r="DR240">
        <v>0</v>
      </c>
      <c r="DS240">
        <v>1</v>
      </c>
    </row>
    <row r="241" spans="1:123" x14ac:dyDescent="0.25">
      <c r="A241" t="str">
        <f>"11/29/2023 20:20:27.898"</f>
        <v>11/29/2023 20:20:27.898</v>
      </c>
      <c r="C241" t="str">
        <f t="shared" si="36"/>
        <v>FFDF53C0</v>
      </c>
      <c r="D241" t="s">
        <v>135</v>
      </c>
      <c r="E241">
        <v>31</v>
      </c>
      <c r="H241">
        <v>285</v>
      </c>
      <c r="I241" t="s">
        <v>136</v>
      </c>
      <c r="J241" t="s">
        <v>137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"20:20:27.625"</f>
        <v>20:20:27.625</v>
      </c>
      <c r="T241" t="str">
        <f>"20:20:27.325"</f>
        <v>20:20:27.325</v>
      </c>
      <c r="U241" t="str">
        <f t="shared" si="29"/>
        <v>AA0632</v>
      </c>
      <c r="V241">
        <v>0</v>
      </c>
      <c r="W241">
        <v>0</v>
      </c>
      <c r="X241">
        <v>2</v>
      </c>
      <c r="Y241">
        <v>0</v>
      </c>
      <c r="AA241">
        <v>0</v>
      </c>
      <c r="AB241">
        <v>9</v>
      </c>
      <c r="AC241">
        <v>3</v>
      </c>
      <c r="AD241">
        <v>0</v>
      </c>
      <c r="AE241">
        <v>10</v>
      </c>
      <c r="AF241" t="s">
        <v>126</v>
      </c>
      <c r="AG241">
        <v>0</v>
      </c>
      <c r="AH241">
        <v>0</v>
      </c>
      <c r="AI241">
        <v>2</v>
      </c>
      <c r="AJ241">
        <v>0</v>
      </c>
      <c r="AK241" t="s">
        <v>259</v>
      </c>
      <c r="AL241">
        <v>31.960473</v>
      </c>
      <c r="AM241" t="s">
        <v>260</v>
      </c>
      <c r="AN241">
        <v>-101.14080199999999</v>
      </c>
      <c r="AQ241" t="s">
        <v>129</v>
      </c>
      <c r="AR241">
        <v>88</v>
      </c>
      <c r="AS241">
        <v>4</v>
      </c>
      <c r="AT241">
        <v>-64</v>
      </c>
      <c r="BB241" t="str">
        <f t="shared" si="30"/>
        <v>1200</v>
      </c>
      <c r="BC241">
        <v>1</v>
      </c>
      <c r="BD241" t="str">
        <f t="shared" si="34"/>
        <v xml:space="preserve">N745MB  </v>
      </c>
      <c r="BE241">
        <v>1</v>
      </c>
      <c r="BG241">
        <v>0</v>
      </c>
      <c r="BH241">
        <v>0</v>
      </c>
      <c r="BI241">
        <v>0</v>
      </c>
      <c r="BL241" t="s">
        <v>130</v>
      </c>
      <c r="BM241">
        <v>1</v>
      </c>
      <c r="BN241">
        <v>0</v>
      </c>
      <c r="BO241">
        <v>0</v>
      </c>
      <c r="BP241">
        <v>0</v>
      </c>
      <c r="BT241">
        <v>0</v>
      </c>
      <c r="BU241">
        <v>0</v>
      </c>
      <c r="CE241" t="str">
        <f>"20:20:27.633"</f>
        <v>20:20:27.633</v>
      </c>
      <c r="CF241">
        <v>632680136</v>
      </c>
      <c r="CS241">
        <v>0</v>
      </c>
      <c r="CT241">
        <v>2</v>
      </c>
      <c r="CU241">
        <v>0</v>
      </c>
      <c r="CV241">
        <v>2</v>
      </c>
      <c r="CW241">
        <v>0</v>
      </c>
      <c r="CX241">
        <v>3</v>
      </c>
      <c r="CY241">
        <v>7</v>
      </c>
      <c r="CZ241" t="s">
        <v>131</v>
      </c>
      <c r="DA241">
        <v>116</v>
      </c>
      <c r="DB241">
        <v>3</v>
      </c>
      <c r="DC241" t="s">
        <v>132</v>
      </c>
      <c r="DD241" t="s">
        <v>133</v>
      </c>
      <c r="DG241">
        <v>8232764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1</v>
      </c>
      <c r="DQ241">
        <v>0</v>
      </c>
      <c r="DR241">
        <v>0</v>
      </c>
      <c r="DS241">
        <v>0</v>
      </c>
    </row>
    <row r="242" spans="1:123" x14ac:dyDescent="0.25">
      <c r="A242" t="str">
        <f>"11/29/2023 20:20:27.945"</f>
        <v>11/29/2023 20:20:27.945</v>
      </c>
      <c r="C242" t="str">
        <f t="shared" si="36"/>
        <v>FFDF53C0</v>
      </c>
      <c r="D242" t="s">
        <v>123</v>
      </c>
      <c r="E242">
        <v>14</v>
      </c>
      <c r="F242">
        <v>1014</v>
      </c>
      <c r="G242" t="s">
        <v>124</v>
      </c>
      <c r="J242" t="s">
        <v>125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"20:20:27.625"</f>
        <v>20:20:27.625</v>
      </c>
      <c r="T242" t="str">
        <f>"20:20:27.325"</f>
        <v>20:20:27.325</v>
      </c>
      <c r="U242" t="str">
        <f t="shared" si="29"/>
        <v>AA0632</v>
      </c>
      <c r="V242">
        <v>0</v>
      </c>
      <c r="W242">
        <v>0</v>
      </c>
      <c r="X242">
        <v>2</v>
      </c>
      <c r="Y242">
        <v>0</v>
      </c>
      <c r="AA242">
        <v>0</v>
      </c>
      <c r="AB242">
        <v>9</v>
      </c>
      <c r="AC242">
        <v>3</v>
      </c>
      <c r="AD242">
        <v>0</v>
      </c>
      <c r="AE242">
        <v>10</v>
      </c>
      <c r="AF242" t="s">
        <v>126</v>
      </c>
      <c r="AG242">
        <v>0</v>
      </c>
      <c r="AH242">
        <v>0</v>
      </c>
      <c r="AI242">
        <v>2</v>
      </c>
      <c r="AJ242">
        <v>0</v>
      </c>
      <c r="AK242" t="s">
        <v>259</v>
      </c>
      <c r="AL242">
        <v>31.960473</v>
      </c>
      <c r="AM242" t="s">
        <v>260</v>
      </c>
      <c r="AN242">
        <v>-101.14080199999999</v>
      </c>
      <c r="AQ242" t="s">
        <v>129</v>
      </c>
      <c r="AR242">
        <v>88</v>
      </c>
      <c r="AS242">
        <v>4</v>
      </c>
      <c r="AT242">
        <v>-64</v>
      </c>
      <c r="BB242" t="str">
        <f t="shared" si="30"/>
        <v>1200</v>
      </c>
      <c r="BC242">
        <v>1</v>
      </c>
      <c r="BD242" t="str">
        <f t="shared" si="34"/>
        <v xml:space="preserve">N745MB  </v>
      </c>
      <c r="BE242">
        <v>1</v>
      </c>
      <c r="BG242">
        <v>0</v>
      </c>
      <c r="BH242">
        <v>0</v>
      </c>
      <c r="BI242">
        <v>0</v>
      </c>
      <c r="BL242" t="s">
        <v>130</v>
      </c>
      <c r="BM242">
        <v>1</v>
      </c>
      <c r="BN242">
        <v>0</v>
      </c>
      <c r="BO242">
        <v>0</v>
      </c>
      <c r="BP242">
        <v>0</v>
      </c>
      <c r="BT242">
        <v>0</v>
      </c>
      <c r="BU242">
        <v>0</v>
      </c>
      <c r="CE242" t="str">
        <f>"20:20:27.633"</f>
        <v>20:20:27.633</v>
      </c>
      <c r="CF242">
        <v>632680136</v>
      </c>
      <c r="CS242">
        <v>0</v>
      </c>
      <c r="CT242">
        <v>2</v>
      </c>
      <c r="CU242">
        <v>0</v>
      </c>
      <c r="CV242">
        <v>2</v>
      </c>
      <c r="CW242">
        <v>0</v>
      </c>
      <c r="CX242">
        <v>3</v>
      </c>
      <c r="CY242">
        <v>7</v>
      </c>
      <c r="CZ242" t="s">
        <v>131</v>
      </c>
      <c r="DA242">
        <v>116</v>
      </c>
      <c r="DB242">
        <v>3</v>
      </c>
      <c r="DC242" t="s">
        <v>132</v>
      </c>
      <c r="DD242" t="s">
        <v>133</v>
      </c>
      <c r="DG242">
        <v>8232764</v>
      </c>
      <c r="DI242">
        <v>0</v>
      </c>
      <c r="DJ242">
        <v>0</v>
      </c>
      <c r="DK242">
        <v>1</v>
      </c>
      <c r="DL242">
        <v>0</v>
      </c>
      <c r="DM242">
        <v>0</v>
      </c>
      <c r="DN242">
        <v>0</v>
      </c>
      <c r="DO242">
        <v>0</v>
      </c>
      <c r="DP242">
        <v>1</v>
      </c>
      <c r="DQ242">
        <v>0</v>
      </c>
      <c r="DR242">
        <v>0</v>
      </c>
      <c r="DS242">
        <v>0</v>
      </c>
    </row>
    <row r="243" spans="1:123" x14ac:dyDescent="0.25">
      <c r="A243" t="str">
        <f>"11/29/2023 20:20:28.023"</f>
        <v>11/29/2023 20:20:28.023</v>
      </c>
      <c r="C243" t="str">
        <f t="shared" si="36"/>
        <v>FFDF53C0</v>
      </c>
      <c r="D243" t="s">
        <v>138</v>
      </c>
      <c r="E243">
        <v>3</v>
      </c>
      <c r="H243">
        <v>160</v>
      </c>
      <c r="I243" t="s">
        <v>124</v>
      </c>
      <c r="J243" t="s">
        <v>139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"20:20:27.625"</f>
        <v>20:20:27.625</v>
      </c>
      <c r="T243" t="str">
        <f>"20:20:27.325"</f>
        <v>20:20:27.325</v>
      </c>
      <c r="U243" t="str">
        <f t="shared" si="29"/>
        <v>AA0632</v>
      </c>
      <c r="V243">
        <v>0</v>
      </c>
      <c r="W243">
        <v>0</v>
      </c>
      <c r="X243">
        <v>2</v>
      </c>
      <c r="Y243">
        <v>0</v>
      </c>
      <c r="AA243">
        <v>0</v>
      </c>
      <c r="AB243">
        <v>9</v>
      </c>
      <c r="AC243">
        <v>3</v>
      </c>
      <c r="AD243">
        <v>0</v>
      </c>
      <c r="AE243">
        <v>10</v>
      </c>
      <c r="AF243" t="s">
        <v>126</v>
      </c>
      <c r="AG243">
        <v>0</v>
      </c>
      <c r="AH243">
        <v>0</v>
      </c>
      <c r="AI243">
        <v>2</v>
      </c>
      <c r="AJ243">
        <v>0</v>
      </c>
      <c r="AK243" t="s">
        <v>259</v>
      </c>
      <c r="AL243">
        <v>31.960473</v>
      </c>
      <c r="AM243" t="s">
        <v>260</v>
      </c>
      <c r="AN243">
        <v>-101.14080199999999</v>
      </c>
      <c r="AQ243" t="s">
        <v>129</v>
      </c>
      <c r="AR243">
        <v>88</v>
      </c>
      <c r="AS243">
        <v>4</v>
      </c>
      <c r="AT243">
        <v>-64</v>
      </c>
      <c r="BB243" t="str">
        <f t="shared" si="30"/>
        <v>1200</v>
      </c>
      <c r="BC243">
        <v>1</v>
      </c>
      <c r="BD243" t="str">
        <f t="shared" si="34"/>
        <v xml:space="preserve">N745MB  </v>
      </c>
      <c r="BE243">
        <v>1</v>
      </c>
      <c r="BG243">
        <v>0</v>
      </c>
      <c r="BH243">
        <v>0</v>
      </c>
      <c r="BI243">
        <v>0</v>
      </c>
      <c r="BL243" t="s">
        <v>130</v>
      </c>
      <c r="BM243">
        <v>1</v>
      </c>
      <c r="BN243">
        <v>0</v>
      </c>
      <c r="BO243">
        <v>0</v>
      </c>
      <c r="BP243">
        <v>0</v>
      </c>
      <c r="BT243">
        <v>0</v>
      </c>
      <c r="BU243">
        <v>0</v>
      </c>
      <c r="CE243" t="str">
        <f>"20:20:27.633"</f>
        <v>20:20:27.633</v>
      </c>
      <c r="CF243">
        <v>632680136</v>
      </c>
      <c r="CS243">
        <v>0</v>
      </c>
      <c r="CT243">
        <v>2</v>
      </c>
      <c r="CU243">
        <v>0</v>
      </c>
      <c r="CV243">
        <v>2</v>
      </c>
      <c r="CW243">
        <v>0</v>
      </c>
      <c r="CX243">
        <v>3</v>
      </c>
      <c r="CY243">
        <v>7</v>
      </c>
      <c r="CZ243" t="s">
        <v>131</v>
      </c>
      <c r="DA243">
        <v>116</v>
      </c>
      <c r="DB243">
        <v>3</v>
      </c>
      <c r="DC243" t="s">
        <v>132</v>
      </c>
      <c r="DD243" t="s">
        <v>133</v>
      </c>
      <c r="DG243">
        <v>8232764</v>
      </c>
      <c r="DI243">
        <v>0</v>
      </c>
      <c r="DJ243">
        <v>0</v>
      </c>
      <c r="DK243">
        <v>1</v>
      </c>
      <c r="DL243">
        <v>0</v>
      </c>
      <c r="DM243">
        <v>0</v>
      </c>
      <c r="DN243">
        <v>0</v>
      </c>
      <c r="DO243">
        <v>0</v>
      </c>
      <c r="DP243">
        <v>1</v>
      </c>
      <c r="DQ243">
        <v>0</v>
      </c>
      <c r="DR243">
        <v>0</v>
      </c>
      <c r="DS243">
        <v>0</v>
      </c>
    </row>
    <row r="244" spans="1:123" x14ac:dyDescent="0.25">
      <c r="A244" t="str">
        <f>"11/29/2023 20:20:28.023"</f>
        <v>11/29/2023 20:20:28.023</v>
      </c>
      <c r="C244" t="str">
        <f t="shared" si="36"/>
        <v>FFDF53C0</v>
      </c>
      <c r="D244" t="s">
        <v>123</v>
      </c>
      <c r="E244">
        <v>1</v>
      </c>
      <c r="F244">
        <v>1001</v>
      </c>
      <c r="G244" t="s">
        <v>134</v>
      </c>
      <c r="J244" t="s">
        <v>125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"20:20:27.625"</f>
        <v>20:20:27.625</v>
      </c>
      <c r="T244" t="str">
        <f>"20:20:27.325"</f>
        <v>20:20:27.325</v>
      </c>
      <c r="U244" t="str">
        <f t="shared" si="29"/>
        <v>AA0632</v>
      </c>
      <c r="V244">
        <v>0</v>
      </c>
      <c r="W244">
        <v>0</v>
      </c>
      <c r="X244">
        <v>2</v>
      </c>
      <c r="Y244">
        <v>0</v>
      </c>
      <c r="AA244">
        <v>0</v>
      </c>
      <c r="AB244">
        <v>9</v>
      </c>
      <c r="AC244">
        <v>3</v>
      </c>
      <c r="AD244">
        <v>0</v>
      </c>
      <c r="AE244">
        <v>10</v>
      </c>
      <c r="AF244" t="s">
        <v>126</v>
      </c>
      <c r="AG244">
        <v>0</v>
      </c>
      <c r="AH244">
        <v>0</v>
      </c>
      <c r="AI244">
        <v>2</v>
      </c>
      <c r="AJ244">
        <v>0</v>
      </c>
      <c r="AK244" t="s">
        <v>259</v>
      </c>
      <c r="AL244">
        <v>31.960473</v>
      </c>
      <c r="AM244" t="s">
        <v>260</v>
      </c>
      <c r="AN244">
        <v>-101.14080199999999</v>
      </c>
      <c r="AQ244" t="s">
        <v>129</v>
      </c>
      <c r="AR244">
        <v>88</v>
      </c>
      <c r="AS244">
        <v>4</v>
      </c>
      <c r="AT244">
        <v>-64</v>
      </c>
      <c r="BB244" t="str">
        <f t="shared" si="30"/>
        <v>1200</v>
      </c>
      <c r="BC244">
        <v>1</v>
      </c>
      <c r="BD244" t="str">
        <f t="shared" si="34"/>
        <v xml:space="preserve">N745MB  </v>
      </c>
      <c r="BE244">
        <v>1</v>
      </c>
      <c r="BG244">
        <v>0</v>
      </c>
      <c r="BH244">
        <v>0</v>
      </c>
      <c r="BI244">
        <v>0</v>
      </c>
      <c r="BL244" t="s">
        <v>130</v>
      </c>
      <c r="BM244">
        <v>1</v>
      </c>
      <c r="BN244">
        <v>0</v>
      </c>
      <c r="BO244">
        <v>0</v>
      </c>
      <c r="BP244">
        <v>0</v>
      </c>
      <c r="BT244">
        <v>0</v>
      </c>
      <c r="BU244">
        <v>0</v>
      </c>
      <c r="CE244" t="str">
        <f>"20:20:27.633"</f>
        <v>20:20:27.633</v>
      </c>
      <c r="CF244">
        <v>632680136</v>
      </c>
      <c r="CS244">
        <v>0</v>
      </c>
      <c r="CT244">
        <v>2</v>
      </c>
      <c r="CU244">
        <v>0</v>
      </c>
      <c r="CV244">
        <v>2</v>
      </c>
      <c r="CW244">
        <v>0</v>
      </c>
      <c r="CX244">
        <v>3</v>
      </c>
      <c r="CY244">
        <v>7</v>
      </c>
      <c r="CZ244" t="s">
        <v>131</v>
      </c>
      <c r="DA244">
        <v>116</v>
      </c>
      <c r="DB244">
        <v>3</v>
      </c>
      <c r="DC244" t="s">
        <v>132</v>
      </c>
      <c r="DD244" t="s">
        <v>133</v>
      </c>
      <c r="DG244">
        <v>8232764</v>
      </c>
      <c r="DI244">
        <v>0</v>
      </c>
      <c r="DJ244">
        <v>0</v>
      </c>
      <c r="DK244">
        <v>1</v>
      </c>
      <c r="DL244">
        <v>0</v>
      </c>
      <c r="DM244">
        <v>0</v>
      </c>
      <c r="DN244">
        <v>0</v>
      </c>
      <c r="DO244">
        <v>0</v>
      </c>
      <c r="DP244">
        <v>1</v>
      </c>
      <c r="DQ244">
        <v>0</v>
      </c>
      <c r="DR244">
        <v>0</v>
      </c>
      <c r="DS244">
        <v>0</v>
      </c>
    </row>
    <row r="245" spans="1:123" x14ac:dyDescent="0.25">
      <c r="A245" t="str">
        <f>"11/29/2023 20:20:29.461"</f>
        <v>11/29/2023 20:20:29.461</v>
      </c>
      <c r="C245" t="str">
        <f t="shared" si="36"/>
        <v>FFDF53C0</v>
      </c>
      <c r="D245" t="s">
        <v>135</v>
      </c>
      <c r="E245">
        <v>31</v>
      </c>
      <c r="H245">
        <v>285</v>
      </c>
      <c r="I245" t="s">
        <v>136</v>
      </c>
      <c r="J245" t="s">
        <v>137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"20:20:29.063"</f>
        <v>20:20:29.063</v>
      </c>
      <c r="T245" t="str">
        <f>"20:20:28.962"</f>
        <v>20:20:28.962</v>
      </c>
      <c r="U245" t="str">
        <f t="shared" si="29"/>
        <v>AA0632</v>
      </c>
      <c r="V245">
        <v>0</v>
      </c>
      <c r="W245">
        <v>0</v>
      </c>
      <c r="X245">
        <v>2</v>
      </c>
      <c r="Y245">
        <v>0</v>
      </c>
      <c r="AA245">
        <v>0</v>
      </c>
      <c r="AB245">
        <v>9</v>
      </c>
      <c r="AC245">
        <v>3</v>
      </c>
      <c r="AD245">
        <v>0</v>
      </c>
      <c r="AE245">
        <v>10</v>
      </c>
      <c r="AF245" t="s">
        <v>126</v>
      </c>
      <c r="AG245">
        <v>0</v>
      </c>
      <c r="AH245">
        <v>0</v>
      </c>
      <c r="AI245">
        <v>2</v>
      </c>
      <c r="AJ245">
        <v>0</v>
      </c>
      <c r="AK245" t="s">
        <v>261</v>
      </c>
      <c r="AL245">
        <v>31.960515999999998</v>
      </c>
      <c r="AM245" t="s">
        <v>262</v>
      </c>
      <c r="AN245">
        <v>-101.140072</v>
      </c>
      <c r="AQ245" t="s">
        <v>129</v>
      </c>
      <c r="AR245">
        <v>89</v>
      </c>
      <c r="AS245">
        <v>7</v>
      </c>
      <c r="AT245">
        <v>-64</v>
      </c>
      <c r="BB245" t="str">
        <f t="shared" si="30"/>
        <v>1200</v>
      </c>
      <c r="BC245">
        <v>1</v>
      </c>
      <c r="BD245" t="str">
        <f t="shared" si="34"/>
        <v xml:space="preserve">N745MB  </v>
      </c>
      <c r="BE245">
        <v>1</v>
      </c>
      <c r="BG245">
        <v>0</v>
      </c>
      <c r="BH245">
        <v>0</v>
      </c>
      <c r="BI245">
        <v>0</v>
      </c>
      <c r="BL245" t="s">
        <v>130</v>
      </c>
      <c r="BM245">
        <v>1</v>
      </c>
      <c r="BN245">
        <v>0</v>
      </c>
      <c r="BO245">
        <v>0</v>
      </c>
      <c r="BP245">
        <v>0</v>
      </c>
      <c r="BT245">
        <v>0</v>
      </c>
      <c r="BU245">
        <v>0</v>
      </c>
      <c r="CE245" t="str">
        <f>"20:20:29.067"</f>
        <v>20:20:29.067</v>
      </c>
      <c r="CF245">
        <v>66584208</v>
      </c>
      <c r="CS245">
        <v>0</v>
      </c>
      <c r="CT245">
        <v>2</v>
      </c>
      <c r="CU245">
        <v>0</v>
      </c>
      <c r="CV245">
        <v>2</v>
      </c>
      <c r="CW245">
        <v>0</v>
      </c>
      <c r="CX245">
        <v>3</v>
      </c>
      <c r="CY245">
        <v>7</v>
      </c>
      <c r="CZ245" t="s">
        <v>131</v>
      </c>
      <c r="DA245">
        <v>116</v>
      </c>
      <c r="DB245">
        <v>3</v>
      </c>
      <c r="DC245" t="s">
        <v>132</v>
      </c>
      <c r="DD245" t="s">
        <v>133</v>
      </c>
      <c r="DG245">
        <v>8233499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1</v>
      </c>
      <c r="DQ245">
        <v>0</v>
      </c>
      <c r="DR245">
        <v>0</v>
      </c>
      <c r="DS245">
        <v>0</v>
      </c>
    </row>
    <row r="246" spans="1:123" x14ac:dyDescent="0.25">
      <c r="A246" t="str">
        <f>"11/29/2023 20:20:29.461"</f>
        <v>11/29/2023 20:20:29.461</v>
      </c>
      <c r="C246" t="str">
        <f t="shared" si="36"/>
        <v>FFDF53C0</v>
      </c>
      <c r="D246" t="s">
        <v>123</v>
      </c>
      <c r="E246">
        <v>14</v>
      </c>
      <c r="F246">
        <v>1014</v>
      </c>
      <c r="G246" t="s">
        <v>124</v>
      </c>
      <c r="J246" t="s">
        <v>125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"20:20:29.063"</f>
        <v>20:20:29.063</v>
      </c>
      <c r="T246" t="str">
        <f>"20:20:28.962"</f>
        <v>20:20:28.962</v>
      </c>
      <c r="U246" t="str">
        <f t="shared" si="29"/>
        <v>AA0632</v>
      </c>
      <c r="V246">
        <v>0</v>
      </c>
      <c r="W246">
        <v>0</v>
      </c>
      <c r="X246">
        <v>2</v>
      </c>
      <c r="Y246">
        <v>0</v>
      </c>
      <c r="AA246">
        <v>0</v>
      </c>
      <c r="AB246">
        <v>9</v>
      </c>
      <c r="AC246">
        <v>3</v>
      </c>
      <c r="AD246">
        <v>0</v>
      </c>
      <c r="AE246">
        <v>10</v>
      </c>
      <c r="AF246" t="s">
        <v>126</v>
      </c>
      <c r="AG246">
        <v>0</v>
      </c>
      <c r="AH246">
        <v>0</v>
      </c>
      <c r="AI246">
        <v>2</v>
      </c>
      <c r="AJ246">
        <v>0</v>
      </c>
      <c r="AK246" t="s">
        <v>261</v>
      </c>
      <c r="AL246">
        <v>31.960515999999998</v>
      </c>
      <c r="AM246" t="s">
        <v>262</v>
      </c>
      <c r="AN246">
        <v>-101.140072</v>
      </c>
      <c r="AQ246" t="s">
        <v>129</v>
      </c>
      <c r="AR246">
        <v>89</v>
      </c>
      <c r="AS246">
        <v>7</v>
      </c>
      <c r="AT246">
        <v>-64</v>
      </c>
      <c r="BB246" t="str">
        <f t="shared" si="30"/>
        <v>1200</v>
      </c>
      <c r="BC246">
        <v>1</v>
      </c>
      <c r="BD246" t="str">
        <f t="shared" si="34"/>
        <v xml:space="preserve">N745MB  </v>
      </c>
      <c r="BE246">
        <v>1</v>
      </c>
      <c r="BG246">
        <v>0</v>
      </c>
      <c r="BH246">
        <v>0</v>
      </c>
      <c r="BI246">
        <v>0</v>
      </c>
      <c r="BL246" t="s">
        <v>130</v>
      </c>
      <c r="BM246">
        <v>1</v>
      </c>
      <c r="BN246">
        <v>0</v>
      </c>
      <c r="BO246">
        <v>0</v>
      </c>
      <c r="BP246">
        <v>0</v>
      </c>
      <c r="BT246">
        <v>0</v>
      </c>
      <c r="BU246">
        <v>0</v>
      </c>
      <c r="CE246" t="str">
        <f>"20:20:29.067"</f>
        <v>20:20:29.067</v>
      </c>
      <c r="CF246">
        <v>66584208</v>
      </c>
      <c r="CS246">
        <v>0</v>
      </c>
      <c r="CT246">
        <v>2</v>
      </c>
      <c r="CU246">
        <v>0</v>
      </c>
      <c r="CV246">
        <v>2</v>
      </c>
      <c r="CW246">
        <v>0</v>
      </c>
      <c r="CX246">
        <v>3</v>
      </c>
      <c r="CY246">
        <v>7</v>
      </c>
      <c r="CZ246" t="s">
        <v>131</v>
      </c>
      <c r="DA246">
        <v>116</v>
      </c>
      <c r="DB246">
        <v>3</v>
      </c>
      <c r="DC246" t="s">
        <v>132</v>
      </c>
      <c r="DD246" t="s">
        <v>133</v>
      </c>
      <c r="DG246">
        <v>8233499</v>
      </c>
      <c r="DI246">
        <v>0</v>
      </c>
      <c r="DJ246">
        <v>0</v>
      </c>
      <c r="DK246">
        <v>1</v>
      </c>
      <c r="DL246">
        <v>0</v>
      </c>
      <c r="DM246">
        <v>0</v>
      </c>
      <c r="DN246">
        <v>0</v>
      </c>
      <c r="DO246">
        <v>0</v>
      </c>
      <c r="DP246">
        <v>1</v>
      </c>
      <c r="DQ246">
        <v>0</v>
      </c>
      <c r="DR246">
        <v>0</v>
      </c>
      <c r="DS246">
        <v>0</v>
      </c>
    </row>
    <row r="247" spans="1:123" x14ac:dyDescent="0.25">
      <c r="A247" t="str">
        <f>"11/29/2023 20:20:29.461"</f>
        <v>11/29/2023 20:20:29.461</v>
      </c>
      <c r="C247" t="str">
        <f t="shared" si="36"/>
        <v>FFDF53C0</v>
      </c>
      <c r="D247" t="s">
        <v>138</v>
      </c>
      <c r="E247">
        <v>3</v>
      </c>
      <c r="H247">
        <v>160</v>
      </c>
      <c r="I247" t="s">
        <v>124</v>
      </c>
      <c r="J247" t="s">
        <v>139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"20:20:29.063"</f>
        <v>20:20:29.063</v>
      </c>
      <c r="T247" t="str">
        <f>"20:20:28.962"</f>
        <v>20:20:28.962</v>
      </c>
      <c r="U247" t="str">
        <f t="shared" si="29"/>
        <v>AA0632</v>
      </c>
      <c r="V247">
        <v>0</v>
      </c>
      <c r="W247">
        <v>0</v>
      </c>
      <c r="X247">
        <v>2</v>
      </c>
      <c r="Y247">
        <v>0</v>
      </c>
      <c r="AA247">
        <v>0</v>
      </c>
      <c r="AB247">
        <v>9</v>
      </c>
      <c r="AC247">
        <v>3</v>
      </c>
      <c r="AD247">
        <v>0</v>
      </c>
      <c r="AE247">
        <v>10</v>
      </c>
      <c r="AF247" t="s">
        <v>126</v>
      </c>
      <c r="AG247">
        <v>0</v>
      </c>
      <c r="AH247">
        <v>0</v>
      </c>
      <c r="AI247">
        <v>2</v>
      </c>
      <c r="AJ247">
        <v>0</v>
      </c>
      <c r="AK247" t="s">
        <v>261</v>
      </c>
      <c r="AL247">
        <v>31.960515999999998</v>
      </c>
      <c r="AM247" t="s">
        <v>262</v>
      </c>
      <c r="AN247">
        <v>-101.140072</v>
      </c>
      <c r="AQ247" t="s">
        <v>129</v>
      </c>
      <c r="AR247">
        <v>89</v>
      </c>
      <c r="AS247">
        <v>7</v>
      </c>
      <c r="AT247">
        <v>-64</v>
      </c>
      <c r="BB247" t="str">
        <f t="shared" si="30"/>
        <v>1200</v>
      </c>
      <c r="BC247">
        <v>1</v>
      </c>
      <c r="BD247" t="str">
        <f t="shared" si="34"/>
        <v xml:space="preserve">N745MB  </v>
      </c>
      <c r="BE247">
        <v>1</v>
      </c>
      <c r="BG247">
        <v>0</v>
      </c>
      <c r="BH247">
        <v>0</v>
      </c>
      <c r="BI247">
        <v>0</v>
      </c>
      <c r="BL247" t="s">
        <v>130</v>
      </c>
      <c r="BM247">
        <v>1</v>
      </c>
      <c r="BN247">
        <v>0</v>
      </c>
      <c r="BO247">
        <v>0</v>
      </c>
      <c r="BP247">
        <v>0</v>
      </c>
      <c r="BT247">
        <v>0</v>
      </c>
      <c r="BU247">
        <v>0</v>
      </c>
      <c r="CE247" t="str">
        <f>"20:20:29.067"</f>
        <v>20:20:29.067</v>
      </c>
      <c r="CF247">
        <v>66584208</v>
      </c>
      <c r="CS247">
        <v>0</v>
      </c>
      <c r="CT247">
        <v>2</v>
      </c>
      <c r="CU247">
        <v>0</v>
      </c>
      <c r="CV247">
        <v>2</v>
      </c>
      <c r="CW247">
        <v>0</v>
      </c>
      <c r="CX247">
        <v>3</v>
      </c>
      <c r="CY247">
        <v>7</v>
      </c>
      <c r="CZ247" t="s">
        <v>131</v>
      </c>
      <c r="DA247">
        <v>116</v>
      </c>
      <c r="DB247">
        <v>3</v>
      </c>
      <c r="DC247" t="s">
        <v>132</v>
      </c>
      <c r="DD247" t="s">
        <v>133</v>
      </c>
      <c r="DG247">
        <v>8233499</v>
      </c>
      <c r="DI247">
        <v>0</v>
      </c>
      <c r="DJ247">
        <v>0</v>
      </c>
      <c r="DK247">
        <v>1</v>
      </c>
      <c r="DL247">
        <v>0</v>
      </c>
      <c r="DM247">
        <v>0</v>
      </c>
      <c r="DN247">
        <v>0</v>
      </c>
      <c r="DO247">
        <v>0</v>
      </c>
      <c r="DP247">
        <v>1</v>
      </c>
      <c r="DQ247">
        <v>0</v>
      </c>
      <c r="DR247">
        <v>0</v>
      </c>
      <c r="DS247">
        <v>0</v>
      </c>
    </row>
    <row r="248" spans="1:123" x14ac:dyDescent="0.25">
      <c r="A248" t="str">
        <f>"11/29/2023 20:20:29.461"</f>
        <v>11/29/2023 20:20:29.461</v>
      </c>
      <c r="C248" t="str">
        <f t="shared" si="36"/>
        <v>FFDF53C0</v>
      </c>
      <c r="D248" t="s">
        <v>123</v>
      </c>
      <c r="E248">
        <v>1</v>
      </c>
      <c r="F248">
        <v>1001</v>
      </c>
      <c r="G248" t="s">
        <v>134</v>
      </c>
      <c r="J248" t="s">
        <v>125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"20:20:29.063"</f>
        <v>20:20:29.063</v>
      </c>
      <c r="T248" t="str">
        <f>"20:20:28.962"</f>
        <v>20:20:28.962</v>
      </c>
      <c r="U248" t="str">
        <f t="shared" si="29"/>
        <v>AA0632</v>
      </c>
      <c r="V248">
        <v>0</v>
      </c>
      <c r="W248">
        <v>0</v>
      </c>
      <c r="X248">
        <v>2</v>
      </c>
      <c r="Y248">
        <v>0</v>
      </c>
      <c r="AA248">
        <v>0</v>
      </c>
      <c r="AB248">
        <v>9</v>
      </c>
      <c r="AC248">
        <v>3</v>
      </c>
      <c r="AD248">
        <v>0</v>
      </c>
      <c r="AE248">
        <v>10</v>
      </c>
      <c r="AF248" t="s">
        <v>126</v>
      </c>
      <c r="AG248">
        <v>0</v>
      </c>
      <c r="AH248">
        <v>0</v>
      </c>
      <c r="AI248">
        <v>2</v>
      </c>
      <c r="AJ248">
        <v>0</v>
      </c>
      <c r="AK248" t="s">
        <v>261</v>
      </c>
      <c r="AL248">
        <v>31.960515999999998</v>
      </c>
      <c r="AM248" t="s">
        <v>262</v>
      </c>
      <c r="AN248">
        <v>-101.140072</v>
      </c>
      <c r="AQ248" t="s">
        <v>129</v>
      </c>
      <c r="AR248">
        <v>89</v>
      </c>
      <c r="AS248">
        <v>7</v>
      </c>
      <c r="AT248">
        <v>-64</v>
      </c>
      <c r="BB248" t="str">
        <f t="shared" si="30"/>
        <v>1200</v>
      </c>
      <c r="BC248">
        <v>1</v>
      </c>
      <c r="BD248" t="str">
        <f t="shared" si="34"/>
        <v xml:space="preserve">N745MB  </v>
      </c>
      <c r="BE248">
        <v>1</v>
      </c>
      <c r="BG248">
        <v>0</v>
      </c>
      <c r="BH248">
        <v>0</v>
      </c>
      <c r="BI248">
        <v>0</v>
      </c>
      <c r="BL248" t="s">
        <v>130</v>
      </c>
      <c r="BM248">
        <v>1</v>
      </c>
      <c r="BN248">
        <v>0</v>
      </c>
      <c r="BO248">
        <v>0</v>
      </c>
      <c r="BP248">
        <v>0</v>
      </c>
      <c r="BT248">
        <v>0</v>
      </c>
      <c r="BU248">
        <v>0</v>
      </c>
      <c r="CE248" t="str">
        <f>"20:20:29.067"</f>
        <v>20:20:29.067</v>
      </c>
      <c r="CF248">
        <v>66584208</v>
      </c>
      <c r="CS248">
        <v>0</v>
      </c>
      <c r="CT248">
        <v>2</v>
      </c>
      <c r="CU248">
        <v>0</v>
      </c>
      <c r="CV248">
        <v>2</v>
      </c>
      <c r="CW248">
        <v>0</v>
      </c>
      <c r="CX248">
        <v>3</v>
      </c>
      <c r="CY248">
        <v>7</v>
      </c>
      <c r="CZ248" t="s">
        <v>131</v>
      </c>
      <c r="DA248">
        <v>116</v>
      </c>
      <c r="DB248">
        <v>3</v>
      </c>
      <c r="DC248" t="s">
        <v>132</v>
      </c>
      <c r="DD248" t="s">
        <v>133</v>
      </c>
      <c r="DG248">
        <v>8233499</v>
      </c>
      <c r="DI248">
        <v>0</v>
      </c>
      <c r="DJ248">
        <v>0</v>
      </c>
      <c r="DK248">
        <v>1</v>
      </c>
      <c r="DL248">
        <v>0</v>
      </c>
      <c r="DM248">
        <v>0</v>
      </c>
      <c r="DN248">
        <v>0</v>
      </c>
      <c r="DO248">
        <v>0</v>
      </c>
      <c r="DP248">
        <v>1</v>
      </c>
      <c r="DQ248">
        <v>0</v>
      </c>
      <c r="DR248">
        <v>0</v>
      </c>
      <c r="DS248">
        <v>0</v>
      </c>
    </row>
    <row r="249" spans="1:123" x14ac:dyDescent="0.25">
      <c r="A249" t="str">
        <f>"11/29/2023 20:20:30.898"</f>
        <v>11/29/2023 20:20:30.898</v>
      </c>
      <c r="C249" t="str">
        <f t="shared" si="36"/>
        <v>FFDF53C0</v>
      </c>
      <c r="D249" t="s">
        <v>123</v>
      </c>
      <c r="E249">
        <v>1</v>
      </c>
      <c r="F249">
        <v>1001</v>
      </c>
      <c r="G249" t="s">
        <v>134</v>
      </c>
      <c r="J249" t="s">
        <v>125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"20:20:30.500"</f>
        <v>20:20:30.500</v>
      </c>
      <c r="T249" t="str">
        <f>"20:20:30.000"</f>
        <v>20:20:30.000</v>
      </c>
      <c r="U249" t="str">
        <f t="shared" si="29"/>
        <v>AA0632</v>
      </c>
      <c r="V249">
        <v>0</v>
      </c>
      <c r="W249">
        <v>0</v>
      </c>
      <c r="X249">
        <v>2</v>
      </c>
      <c r="Y249">
        <v>0</v>
      </c>
      <c r="AA249">
        <v>0</v>
      </c>
      <c r="AB249">
        <v>9</v>
      </c>
      <c r="AC249">
        <v>3</v>
      </c>
      <c r="AD249">
        <v>0</v>
      </c>
      <c r="AE249">
        <v>10</v>
      </c>
      <c r="AF249" t="s">
        <v>126</v>
      </c>
      <c r="AG249">
        <v>0</v>
      </c>
      <c r="AH249">
        <v>0</v>
      </c>
      <c r="AI249">
        <v>2</v>
      </c>
      <c r="AJ249">
        <v>0</v>
      </c>
      <c r="AK249" t="s">
        <v>253</v>
      </c>
      <c r="AL249">
        <v>31.96058</v>
      </c>
      <c r="AM249" t="s">
        <v>263</v>
      </c>
      <c r="AN249">
        <v>-101.139343</v>
      </c>
      <c r="AQ249" t="s">
        <v>129</v>
      </c>
      <c r="AR249">
        <v>90</v>
      </c>
      <c r="AS249">
        <v>9</v>
      </c>
      <c r="AT249">
        <v>-192</v>
      </c>
      <c r="BB249" t="str">
        <f t="shared" si="30"/>
        <v>1200</v>
      </c>
      <c r="BC249">
        <v>1</v>
      </c>
      <c r="BD249" t="str">
        <f t="shared" si="34"/>
        <v xml:space="preserve">N745MB  </v>
      </c>
      <c r="BE249">
        <v>1</v>
      </c>
      <c r="BG249">
        <v>0</v>
      </c>
      <c r="BH249">
        <v>0</v>
      </c>
      <c r="BI249">
        <v>0</v>
      </c>
      <c r="BL249" t="s">
        <v>130</v>
      </c>
      <c r="BM249">
        <v>1</v>
      </c>
      <c r="BN249">
        <v>0</v>
      </c>
      <c r="BO249">
        <v>0</v>
      </c>
      <c r="BP249">
        <v>0</v>
      </c>
      <c r="BT249">
        <v>0</v>
      </c>
      <c r="BU249">
        <v>0</v>
      </c>
      <c r="CE249" t="str">
        <f>"20:20:30.504"</f>
        <v>20:20:30.504</v>
      </c>
      <c r="CF249">
        <v>504496629</v>
      </c>
      <c r="CS249">
        <v>0</v>
      </c>
      <c r="CT249">
        <v>2</v>
      </c>
      <c r="CU249">
        <v>0</v>
      </c>
      <c r="CV249">
        <v>2</v>
      </c>
      <c r="CW249">
        <v>0</v>
      </c>
      <c r="CX249">
        <v>3</v>
      </c>
      <c r="CY249">
        <v>7</v>
      </c>
      <c r="CZ249" t="s">
        <v>131</v>
      </c>
      <c r="DA249">
        <v>116</v>
      </c>
      <c r="DB249">
        <v>3</v>
      </c>
      <c r="DC249" t="s">
        <v>132</v>
      </c>
      <c r="DD249" t="s">
        <v>133</v>
      </c>
      <c r="DG249">
        <v>8234225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1</v>
      </c>
      <c r="DQ249">
        <v>0</v>
      </c>
      <c r="DR249">
        <v>0</v>
      </c>
      <c r="DS249">
        <v>0</v>
      </c>
    </row>
    <row r="250" spans="1:123" x14ac:dyDescent="0.25">
      <c r="A250" t="str">
        <f>"11/29/2023 20:20:30.898"</f>
        <v>11/29/2023 20:20:30.898</v>
      </c>
      <c r="C250" t="str">
        <f t="shared" si="36"/>
        <v>FFDF53C0</v>
      </c>
      <c r="D250" t="s">
        <v>135</v>
      </c>
      <c r="E250">
        <v>31</v>
      </c>
      <c r="H250">
        <v>285</v>
      </c>
      <c r="I250" t="s">
        <v>136</v>
      </c>
      <c r="J250" t="s">
        <v>137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"20:20:30.500"</f>
        <v>20:20:30.500</v>
      </c>
      <c r="T250" t="str">
        <f>"20:20:30.000"</f>
        <v>20:20:30.000</v>
      </c>
      <c r="U250" t="str">
        <f t="shared" si="29"/>
        <v>AA0632</v>
      </c>
      <c r="V250">
        <v>0</v>
      </c>
      <c r="W250">
        <v>0</v>
      </c>
      <c r="X250">
        <v>2</v>
      </c>
      <c r="Y250">
        <v>0</v>
      </c>
      <c r="AA250">
        <v>0</v>
      </c>
      <c r="AB250">
        <v>9</v>
      </c>
      <c r="AC250">
        <v>3</v>
      </c>
      <c r="AD250">
        <v>0</v>
      </c>
      <c r="AE250">
        <v>10</v>
      </c>
      <c r="AF250" t="s">
        <v>126</v>
      </c>
      <c r="AG250">
        <v>0</v>
      </c>
      <c r="AH250">
        <v>0</v>
      </c>
      <c r="AI250">
        <v>2</v>
      </c>
      <c r="AJ250">
        <v>0</v>
      </c>
      <c r="AK250" t="s">
        <v>253</v>
      </c>
      <c r="AL250">
        <v>31.96058</v>
      </c>
      <c r="AM250" t="s">
        <v>263</v>
      </c>
      <c r="AN250">
        <v>-101.139343</v>
      </c>
      <c r="AQ250" t="s">
        <v>129</v>
      </c>
      <c r="AR250">
        <v>90</v>
      </c>
      <c r="AS250">
        <v>9</v>
      </c>
      <c r="AT250">
        <v>-192</v>
      </c>
      <c r="BB250" t="str">
        <f t="shared" si="30"/>
        <v>1200</v>
      </c>
      <c r="BC250">
        <v>1</v>
      </c>
      <c r="BD250" t="str">
        <f t="shared" si="34"/>
        <v xml:space="preserve">N745MB  </v>
      </c>
      <c r="BE250">
        <v>1</v>
      </c>
      <c r="BG250">
        <v>0</v>
      </c>
      <c r="BH250">
        <v>0</v>
      </c>
      <c r="BI250">
        <v>0</v>
      </c>
      <c r="BL250" t="s">
        <v>130</v>
      </c>
      <c r="BM250">
        <v>1</v>
      </c>
      <c r="BN250">
        <v>0</v>
      </c>
      <c r="BO250">
        <v>0</v>
      </c>
      <c r="BP250">
        <v>0</v>
      </c>
      <c r="BT250">
        <v>0</v>
      </c>
      <c r="BU250">
        <v>0</v>
      </c>
      <c r="CE250" t="str">
        <f>"20:20:30.504"</f>
        <v>20:20:30.504</v>
      </c>
      <c r="CF250">
        <v>504496629</v>
      </c>
      <c r="CS250">
        <v>0</v>
      </c>
      <c r="CT250">
        <v>2</v>
      </c>
      <c r="CU250">
        <v>0</v>
      </c>
      <c r="CV250">
        <v>2</v>
      </c>
      <c r="CW250">
        <v>0</v>
      </c>
      <c r="CX250">
        <v>3</v>
      </c>
      <c r="CY250">
        <v>7</v>
      </c>
      <c r="CZ250" t="s">
        <v>131</v>
      </c>
      <c r="DA250">
        <v>116</v>
      </c>
      <c r="DB250">
        <v>3</v>
      </c>
      <c r="DC250" t="s">
        <v>132</v>
      </c>
      <c r="DD250" t="s">
        <v>133</v>
      </c>
      <c r="DG250">
        <v>8234225</v>
      </c>
      <c r="DI250">
        <v>0</v>
      </c>
      <c r="DJ250">
        <v>0</v>
      </c>
      <c r="DK250">
        <v>1</v>
      </c>
      <c r="DL250">
        <v>0</v>
      </c>
      <c r="DM250">
        <v>0</v>
      </c>
      <c r="DN250">
        <v>0</v>
      </c>
      <c r="DO250">
        <v>0</v>
      </c>
      <c r="DP250">
        <v>1</v>
      </c>
      <c r="DQ250">
        <v>0</v>
      </c>
      <c r="DR250">
        <v>0</v>
      </c>
      <c r="DS250">
        <v>0</v>
      </c>
    </row>
    <row r="251" spans="1:123" x14ac:dyDescent="0.25">
      <c r="A251" t="str">
        <f>"11/29/2023 20:20:30.945"</f>
        <v>11/29/2023 20:20:30.945</v>
      </c>
      <c r="C251" t="str">
        <f t="shared" si="36"/>
        <v>FFDF53C0</v>
      </c>
      <c r="D251" t="s">
        <v>123</v>
      </c>
      <c r="E251">
        <v>14</v>
      </c>
      <c r="F251">
        <v>1014</v>
      </c>
      <c r="G251" t="s">
        <v>124</v>
      </c>
      <c r="J251" t="s">
        <v>125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"20:20:30.500"</f>
        <v>20:20:30.500</v>
      </c>
      <c r="T251" t="str">
        <f>"20:20:30.000"</f>
        <v>20:20:30.000</v>
      </c>
      <c r="U251" t="str">
        <f t="shared" si="29"/>
        <v>AA0632</v>
      </c>
      <c r="V251">
        <v>0</v>
      </c>
      <c r="W251">
        <v>0</v>
      </c>
      <c r="X251">
        <v>2</v>
      </c>
      <c r="Y251">
        <v>0</v>
      </c>
      <c r="AA251">
        <v>0</v>
      </c>
      <c r="AB251">
        <v>9</v>
      </c>
      <c r="AC251">
        <v>3</v>
      </c>
      <c r="AD251">
        <v>0</v>
      </c>
      <c r="AE251">
        <v>10</v>
      </c>
      <c r="AF251" t="s">
        <v>126</v>
      </c>
      <c r="AG251">
        <v>0</v>
      </c>
      <c r="AH251">
        <v>0</v>
      </c>
      <c r="AI251">
        <v>2</v>
      </c>
      <c r="AJ251">
        <v>0</v>
      </c>
      <c r="AK251" t="s">
        <v>253</v>
      </c>
      <c r="AL251">
        <v>31.96058</v>
      </c>
      <c r="AM251" t="s">
        <v>263</v>
      </c>
      <c r="AN251">
        <v>-101.139343</v>
      </c>
      <c r="AQ251" t="s">
        <v>129</v>
      </c>
      <c r="AR251">
        <v>90</v>
      </c>
      <c r="AS251">
        <v>9</v>
      </c>
      <c r="AT251">
        <v>-192</v>
      </c>
      <c r="BB251" t="str">
        <f t="shared" si="30"/>
        <v>1200</v>
      </c>
      <c r="BC251">
        <v>1</v>
      </c>
      <c r="BD251" t="str">
        <f t="shared" si="34"/>
        <v xml:space="preserve">N745MB  </v>
      </c>
      <c r="BE251">
        <v>1</v>
      </c>
      <c r="BG251">
        <v>0</v>
      </c>
      <c r="BH251">
        <v>0</v>
      </c>
      <c r="BI251">
        <v>0</v>
      </c>
      <c r="BL251" t="s">
        <v>130</v>
      </c>
      <c r="BM251">
        <v>1</v>
      </c>
      <c r="BN251">
        <v>0</v>
      </c>
      <c r="BO251">
        <v>0</v>
      </c>
      <c r="BP251">
        <v>0</v>
      </c>
      <c r="BT251">
        <v>0</v>
      </c>
      <c r="BU251">
        <v>0</v>
      </c>
      <c r="CE251" t="str">
        <f>"20:20:30.504"</f>
        <v>20:20:30.504</v>
      </c>
      <c r="CF251">
        <v>504496629</v>
      </c>
      <c r="CS251">
        <v>0</v>
      </c>
      <c r="CT251">
        <v>2</v>
      </c>
      <c r="CU251">
        <v>0</v>
      </c>
      <c r="CV251">
        <v>2</v>
      </c>
      <c r="CW251">
        <v>0</v>
      </c>
      <c r="CX251">
        <v>3</v>
      </c>
      <c r="CY251">
        <v>7</v>
      </c>
      <c r="CZ251" t="s">
        <v>131</v>
      </c>
      <c r="DA251">
        <v>116</v>
      </c>
      <c r="DB251">
        <v>3</v>
      </c>
      <c r="DC251" t="s">
        <v>132</v>
      </c>
      <c r="DD251" t="s">
        <v>133</v>
      </c>
      <c r="DG251">
        <v>8234225</v>
      </c>
      <c r="DI251">
        <v>0</v>
      </c>
      <c r="DJ251">
        <v>0</v>
      </c>
      <c r="DK251">
        <v>1</v>
      </c>
      <c r="DL251">
        <v>0</v>
      </c>
      <c r="DM251">
        <v>0</v>
      </c>
      <c r="DN251">
        <v>0</v>
      </c>
      <c r="DO251">
        <v>0</v>
      </c>
      <c r="DP251">
        <v>1</v>
      </c>
      <c r="DQ251">
        <v>0</v>
      </c>
      <c r="DR251">
        <v>0</v>
      </c>
      <c r="DS251">
        <v>0</v>
      </c>
    </row>
    <row r="252" spans="1:123" x14ac:dyDescent="0.25">
      <c r="A252" t="str">
        <f>"11/29/2023 20:20:31.039"</f>
        <v>11/29/2023 20:20:31.039</v>
      </c>
      <c r="C252" t="str">
        <f t="shared" si="36"/>
        <v>FFDF53C0</v>
      </c>
      <c r="D252" t="s">
        <v>138</v>
      </c>
      <c r="E252">
        <v>3</v>
      </c>
      <c r="H252">
        <v>160</v>
      </c>
      <c r="I252" t="s">
        <v>124</v>
      </c>
      <c r="J252" t="s">
        <v>139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"20:20:30.500"</f>
        <v>20:20:30.500</v>
      </c>
      <c r="T252" t="str">
        <f>"20:20:30.000"</f>
        <v>20:20:30.000</v>
      </c>
      <c r="U252" t="str">
        <f t="shared" si="29"/>
        <v>AA0632</v>
      </c>
      <c r="V252">
        <v>0</v>
      </c>
      <c r="W252">
        <v>0</v>
      </c>
      <c r="X252">
        <v>2</v>
      </c>
      <c r="Y252">
        <v>0</v>
      </c>
      <c r="AA252">
        <v>0</v>
      </c>
      <c r="AB252">
        <v>9</v>
      </c>
      <c r="AC252">
        <v>3</v>
      </c>
      <c r="AD252">
        <v>0</v>
      </c>
      <c r="AE252">
        <v>10</v>
      </c>
      <c r="AF252" t="s">
        <v>126</v>
      </c>
      <c r="AG252">
        <v>0</v>
      </c>
      <c r="AH252">
        <v>0</v>
      </c>
      <c r="AI252">
        <v>2</v>
      </c>
      <c r="AJ252">
        <v>0</v>
      </c>
      <c r="AK252" t="s">
        <v>253</v>
      </c>
      <c r="AL252">
        <v>31.96058</v>
      </c>
      <c r="AM252" t="s">
        <v>263</v>
      </c>
      <c r="AN252">
        <v>-101.139343</v>
      </c>
      <c r="AQ252" t="s">
        <v>129</v>
      </c>
      <c r="AR252">
        <v>90</v>
      </c>
      <c r="AS252">
        <v>9</v>
      </c>
      <c r="AT252">
        <v>-192</v>
      </c>
      <c r="BB252" t="str">
        <f t="shared" si="30"/>
        <v>1200</v>
      </c>
      <c r="BC252">
        <v>1</v>
      </c>
      <c r="BD252" t="str">
        <f t="shared" si="34"/>
        <v xml:space="preserve">N745MB  </v>
      </c>
      <c r="BE252">
        <v>1</v>
      </c>
      <c r="BG252">
        <v>0</v>
      </c>
      <c r="BH252">
        <v>0</v>
      </c>
      <c r="BI252">
        <v>0</v>
      </c>
      <c r="BL252" t="s">
        <v>130</v>
      </c>
      <c r="BM252">
        <v>1</v>
      </c>
      <c r="BN252">
        <v>0</v>
      </c>
      <c r="BO252">
        <v>0</v>
      </c>
      <c r="BP252">
        <v>0</v>
      </c>
      <c r="BT252">
        <v>0</v>
      </c>
      <c r="BU252">
        <v>0</v>
      </c>
      <c r="CE252" t="str">
        <f>"20:20:30.504"</f>
        <v>20:20:30.504</v>
      </c>
      <c r="CF252">
        <v>504496629</v>
      </c>
      <c r="CS252">
        <v>0</v>
      </c>
      <c r="CT252">
        <v>2</v>
      </c>
      <c r="CU252">
        <v>0</v>
      </c>
      <c r="CV252">
        <v>2</v>
      </c>
      <c r="CW252">
        <v>0</v>
      </c>
      <c r="CX252">
        <v>3</v>
      </c>
      <c r="CY252">
        <v>7</v>
      </c>
      <c r="CZ252" t="s">
        <v>131</v>
      </c>
      <c r="DA252">
        <v>116</v>
      </c>
      <c r="DB252">
        <v>3</v>
      </c>
      <c r="DC252" t="s">
        <v>132</v>
      </c>
      <c r="DD252" t="s">
        <v>133</v>
      </c>
      <c r="DG252">
        <v>8234225</v>
      </c>
      <c r="DI252">
        <v>0</v>
      </c>
      <c r="DJ252">
        <v>0</v>
      </c>
      <c r="DK252">
        <v>1</v>
      </c>
      <c r="DL252">
        <v>0</v>
      </c>
      <c r="DM252">
        <v>0</v>
      </c>
      <c r="DN252">
        <v>0</v>
      </c>
      <c r="DO252">
        <v>0</v>
      </c>
      <c r="DP252">
        <v>1</v>
      </c>
      <c r="DQ252">
        <v>0</v>
      </c>
      <c r="DR252">
        <v>0</v>
      </c>
      <c r="DS252">
        <v>0</v>
      </c>
    </row>
    <row r="253" spans="1:123" x14ac:dyDescent="0.25">
      <c r="A253" t="str">
        <f>"11/29/2023 20:20:32.539"</f>
        <v>11/29/2023 20:20:32.539</v>
      </c>
      <c r="C253" t="str">
        <f t="shared" si="36"/>
        <v>FFDF53C0</v>
      </c>
      <c r="D253" t="s">
        <v>135</v>
      </c>
      <c r="E253">
        <v>31</v>
      </c>
      <c r="H253">
        <v>285</v>
      </c>
      <c r="I253" t="s">
        <v>136</v>
      </c>
      <c r="J253" t="s">
        <v>137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"20:20:32.063"</f>
        <v>20:20:32.063</v>
      </c>
      <c r="T253" t="str">
        <f>"20:20:31.563"</f>
        <v>20:20:31.563</v>
      </c>
      <c r="U253" t="str">
        <f t="shared" si="29"/>
        <v>AA0632</v>
      </c>
      <c r="V253">
        <v>0</v>
      </c>
      <c r="W253">
        <v>0</v>
      </c>
      <c r="X253">
        <v>2</v>
      </c>
      <c r="Y253">
        <v>0</v>
      </c>
      <c r="AA253">
        <v>0</v>
      </c>
      <c r="AB253">
        <v>9</v>
      </c>
      <c r="AC253">
        <v>3</v>
      </c>
      <c r="AD253">
        <v>0</v>
      </c>
      <c r="AE253">
        <v>10</v>
      </c>
      <c r="AF253" t="s">
        <v>126</v>
      </c>
      <c r="AG253">
        <v>0</v>
      </c>
      <c r="AH253">
        <v>0</v>
      </c>
      <c r="AI253">
        <v>2</v>
      </c>
      <c r="AJ253">
        <v>0</v>
      </c>
      <c r="AK253" t="s">
        <v>249</v>
      </c>
      <c r="AL253">
        <v>31.960645</v>
      </c>
      <c r="AM253" t="s">
        <v>264</v>
      </c>
      <c r="AN253">
        <v>-101.138592</v>
      </c>
      <c r="AQ253" t="s">
        <v>129</v>
      </c>
      <c r="AR253">
        <v>91</v>
      </c>
      <c r="AS253">
        <v>11</v>
      </c>
      <c r="AT253">
        <v>-320</v>
      </c>
      <c r="BB253" t="str">
        <f t="shared" si="30"/>
        <v>1200</v>
      </c>
      <c r="BC253">
        <v>1</v>
      </c>
      <c r="BD253" t="str">
        <f t="shared" si="34"/>
        <v xml:space="preserve">N745MB  </v>
      </c>
      <c r="BE253">
        <v>1</v>
      </c>
      <c r="BG253">
        <v>0</v>
      </c>
      <c r="BH253">
        <v>0</v>
      </c>
      <c r="BI253">
        <v>0</v>
      </c>
      <c r="BL253" t="s">
        <v>130</v>
      </c>
      <c r="BM253">
        <v>1</v>
      </c>
      <c r="BN253">
        <v>0</v>
      </c>
      <c r="BO253">
        <v>0</v>
      </c>
      <c r="BP253">
        <v>0</v>
      </c>
      <c r="BT253">
        <v>0</v>
      </c>
      <c r="BU253">
        <v>0</v>
      </c>
      <c r="CE253" t="str">
        <f>"20:20:32.068"</f>
        <v>20:20:32.068</v>
      </c>
      <c r="CF253">
        <v>68376611</v>
      </c>
      <c r="CS253">
        <v>0</v>
      </c>
      <c r="CT253">
        <v>2</v>
      </c>
      <c r="CU253">
        <v>0</v>
      </c>
      <c r="CV253">
        <v>2</v>
      </c>
      <c r="CW253">
        <v>0</v>
      </c>
      <c r="CX253">
        <v>2</v>
      </c>
      <c r="CY253">
        <v>7</v>
      </c>
      <c r="CZ253" t="s">
        <v>131</v>
      </c>
      <c r="DA253">
        <v>116</v>
      </c>
      <c r="DB253">
        <v>3</v>
      </c>
      <c r="DC253" t="s">
        <v>132</v>
      </c>
      <c r="DD253" t="s">
        <v>133</v>
      </c>
      <c r="DG253">
        <v>8235032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1</v>
      </c>
      <c r="DQ253">
        <v>0</v>
      </c>
      <c r="DR253">
        <v>0</v>
      </c>
      <c r="DS253">
        <v>0</v>
      </c>
    </row>
    <row r="254" spans="1:123" x14ac:dyDescent="0.25">
      <c r="A254" t="str">
        <f>"11/29/2023 20:20:32.539"</f>
        <v>11/29/2023 20:20:32.539</v>
      </c>
      <c r="C254" t="str">
        <f t="shared" si="36"/>
        <v>FFDF53C0</v>
      </c>
      <c r="D254" t="s">
        <v>123</v>
      </c>
      <c r="E254">
        <v>14</v>
      </c>
      <c r="F254">
        <v>1014</v>
      </c>
      <c r="G254" t="s">
        <v>124</v>
      </c>
      <c r="J254" t="s">
        <v>125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"20:20:32.063"</f>
        <v>20:20:32.063</v>
      </c>
      <c r="T254" t="str">
        <f>"20:20:31.563"</f>
        <v>20:20:31.563</v>
      </c>
      <c r="U254" t="str">
        <f t="shared" si="29"/>
        <v>AA0632</v>
      </c>
      <c r="V254">
        <v>0</v>
      </c>
      <c r="W254">
        <v>0</v>
      </c>
      <c r="X254">
        <v>2</v>
      </c>
      <c r="Y254">
        <v>0</v>
      </c>
      <c r="AA254">
        <v>0</v>
      </c>
      <c r="AB254">
        <v>9</v>
      </c>
      <c r="AC254">
        <v>3</v>
      </c>
      <c r="AD254">
        <v>0</v>
      </c>
      <c r="AE254">
        <v>10</v>
      </c>
      <c r="AF254" t="s">
        <v>126</v>
      </c>
      <c r="AG254">
        <v>0</v>
      </c>
      <c r="AH254">
        <v>0</v>
      </c>
      <c r="AI254">
        <v>2</v>
      </c>
      <c r="AJ254">
        <v>0</v>
      </c>
      <c r="AK254" t="s">
        <v>249</v>
      </c>
      <c r="AL254">
        <v>31.960645</v>
      </c>
      <c r="AM254" t="s">
        <v>264</v>
      </c>
      <c r="AN254">
        <v>-101.138592</v>
      </c>
      <c r="AQ254" t="s">
        <v>129</v>
      </c>
      <c r="AR254">
        <v>91</v>
      </c>
      <c r="AS254">
        <v>11</v>
      </c>
      <c r="AT254">
        <v>-320</v>
      </c>
      <c r="BB254" t="str">
        <f t="shared" si="30"/>
        <v>1200</v>
      </c>
      <c r="BC254">
        <v>1</v>
      </c>
      <c r="BD254" t="str">
        <f t="shared" si="34"/>
        <v xml:space="preserve">N745MB  </v>
      </c>
      <c r="BE254">
        <v>1</v>
      </c>
      <c r="BG254">
        <v>0</v>
      </c>
      <c r="BH254">
        <v>0</v>
      </c>
      <c r="BI254">
        <v>0</v>
      </c>
      <c r="BL254" t="s">
        <v>130</v>
      </c>
      <c r="BM254">
        <v>1</v>
      </c>
      <c r="BN254">
        <v>0</v>
      </c>
      <c r="BO254">
        <v>0</v>
      </c>
      <c r="BP254">
        <v>0</v>
      </c>
      <c r="BT254">
        <v>0</v>
      </c>
      <c r="BU254">
        <v>0</v>
      </c>
      <c r="CE254" t="str">
        <f>"20:20:32.068"</f>
        <v>20:20:32.068</v>
      </c>
      <c r="CF254">
        <v>68376611</v>
      </c>
      <c r="CS254">
        <v>0</v>
      </c>
      <c r="CT254">
        <v>2</v>
      </c>
      <c r="CU254">
        <v>0</v>
      </c>
      <c r="CV254">
        <v>2</v>
      </c>
      <c r="CW254">
        <v>0</v>
      </c>
      <c r="CX254">
        <v>2</v>
      </c>
      <c r="CY254">
        <v>7</v>
      </c>
      <c r="CZ254" t="s">
        <v>131</v>
      </c>
      <c r="DA254">
        <v>116</v>
      </c>
      <c r="DB254">
        <v>3</v>
      </c>
      <c r="DC254" t="s">
        <v>132</v>
      </c>
      <c r="DD254" t="s">
        <v>133</v>
      </c>
      <c r="DG254">
        <v>8235032</v>
      </c>
      <c r="DI254">
        <v>0</v>
      </c>
      <c r="DJ254">
        <v>0</v>
      </c>
      <c r="DK254">
        <v>1</v>
      </c>
      <c r="DL254">
        <v>0</v>
      </c>
      <c r="DM254">
        <v>0</v>
      </c>
      <c r="DN254">
        <v>0</v>
      </c>
      <c r="DO254">
        <v>0</v>
      </c>
      <c r="DP254">
        <v>1</v>
      </c>
      <c r="DQ254">
        <v>0</v>
      </c>
      <c r="DR254">
        <v>0</v>
      </c>
      <c r="DS254">
        <v>0</v>
      </c>
    </row>
    <row r="255" spans="1:123" x14ac:dyDescent="0.25">
      <c r="A255" t="str">
        <f>"11/29/2023 20:20:32.539"</f>
        <v>11/29/2023 20:20:32.539</v>
      </c>
      <c r="C255" t="str">
        <f t="shared" si="36"/>
        <v>FFDF53C0</v>
      </c>
      <c r="D255" t="s">
        <v>138</v>
      </c>
      <c r="E255">
        <v>3</v>
      </c>
      <c r="H255">
        <v>160</v>
      </c>
      <c r="I255" t="s">
        <v>124</v>
      </c>
      <c r="J255" t="s">
        <v>139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"20:20:32.063"</f>
        <v>20:20:32.063</v>
      </c>
      <c r="T255" t="str">
        <f>"20:20:31.563"</f>
        <v>20:20:31.563</v>
      </c>
      <c r="U255" t="str">
        <f t="shared" si="29"/>
        <v>AA0632</v>
      </c>
      <c r="V255">
        <v>0</v>
      </c>
      <c r="W255">
        <v>0</v>
      </c>
      <c r="X255">
        <v>2</v>
      </c>
      <c r="Y255">
        <v>0</v>
      </c>
      <c r="AA255">
        <v>0</v>
      </c>
      <c r="AB255">
        <v>9</v>
      </c>
      <c r="AC255">
        <v>3</v>
      </c>
      <c r="AD255">
        <v>0</v>
      </c>
      <c r="AE255">
        <v>10</v>
      </c>
      <c r="AF255" t="s">
        <v>126</v>
      </c>
      <c r="AG255">
        <v>0</v>
      </c>
      <c r="AH255">
        <v>0</v>
      </c>
      <c r="AI255">
        <v>2</v>
      </c>
      <c r="AJ255">
        <v>0</v>
      </c>
      <c r="AK255" t="s">
        <v>249</v>
      </c>
      <c r="AL255">
        <v>31.960645</v>
      </c>
      <c r="AM255" t="s">
        <v>264</v>
      </c>
      <c r="AN255">
        <v>-101.138592</v>
      </c>
      <c r="AQ255" t="s">
        <v>129</v>
      </c>
      <c r="AR255">
        <v>91</v>
      </c>
      <c r="AS255">
        <v>11</v>
      </c>
      <c r="AT255">
        <v>-320</v>
      </c>
      <c r="BB255" t="str">
        <f t="shared" si="30"/>
        <v>1200</v>
      </c>
      <c r="BC255">
        <v>1</v>
      </c>
      <c r="BD255" t="str">
        <f t="shared" si="34"/>
        <v xml:space="preserve">N745MB  </v>
      </c>
      <c r="BE255">
        <v>1</v>
      </c>
      <c r="BG255">
        <v>0</v>
      </c>
      <c r="BH255">
        <v>0</v>
      </c>
      <c r="BI255">
        <v>0</v>
      </c>
      <c r="BL255" t="s">
        <v>130</v>
      </c>
      <c r="BM255">
        <v>1</v>
      </c>
      <c r="BN255">
        <v>0</v>
      </c>
      <c r="BO255">
        <v>0</v>
      </c>
      <c r="BP255">
        <v>0</v>
      </c>
      <c r="BT255">
        <v>0</v>
      </c>
      <c r="BU255">
        <v>0</v>
      </c>
      <c r="CE255" t="str">
        <f>"20:20:32.068"</f>
        <v>20:20:32.068</v>
      </c>
      <c r="CF255">
        <v>68376611</v>
      </c>
      <c r="CS255">
        <v>0</v>
      </c>
      <c r="CT255">
        <v>2</v>
      </c>
      <c r="CU255">
        <v>0</v>
      </c>
      <c r="CV255">
        <v>2</v>
      </c>
      <c r="CW255">
        <v>0</v>
      </c>
      <c r="CX255">
        <v>2</v>
      </c>
      <c r="CY255">
        <v>7</v>
      </c>
      <c r="CZ255" t="s">
        <v>131</v>
      </c>
      <c r="DA255">
        <v>116</v>
      </c>
      <c r="DB255">
        <v>3</v>
      </c>
      <c r="DC255" t="s">
        <v>132</v>
      </c>
      <c r="DD255" t="s">
        <v>133</v>
      </c>
      <c r="DG255">
        <v>8235032</v>
      </c>
      <c r="DI255">
        <v>0</v>
      </c>
      <c r="DJ255">
        <v>0</v>
      </c>
      <c r="DK255">
        <v>1</v>
      </c>
      <c r="DL255">
        <v>0</v>
      </c>
      <c r="DM255">
        <v>0</v>
      </c>
      <c r="DN255">
        <v>0</v>
      </c>
      <c r="DO255">
        <v>0</v>
      </c>
      <c r="DP255">
        <v>1</v>
      </c>
      <c r="DQ255">
        <v>0</v>
      </c>
      <c r="DR255">
        <v>0</v>
      </c>
      <c r="DS255">
        <v>0</v>
      </c>
    </row>
    <row r="256" spans="1:123" x14ac:dyDescent="0.25">
      <c r="A256" t="str">
        <f>"11/29/2023 20:20:32.539"</f>
        <v>11/29/2023 20:20:32.539</v>
      </c>
      <c r="C256" t="str">
        <f t="shared" si="36"/>
        <v>FFDF53C0</v>
      </c>
      <c r="D256" t="s">
        <v>123</v>
      </c>
      <c r="E256">
        <v>1</v>
      </c>
      <c r="F256">
        <v>1001</v>
      </c>
      <c r="G256" t="s">
        <v>134</v>
      </c>
      <c r="J256" t="s">
        <v>125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"20:20:32.063"</f>
        <v>20:20:32.063</v>
      </c>
      <c r="T256" t="str">
        <f>"20:20:31.563"</f>
        <v>20:20:31.563</v>
      </c>
      <c r="U256" t="str">
        <f t="shared" si="29"/>
        <v>AA0632</v>
      </c>
      <c r="V256">
        <v>0</v>
      </c>
      <c r="W256">
        <v>0</v>
      </c>
      <c r="X256">
        <v>2</v>
      </c>
      <c r="Y256">
        <v>0</v>
      </c>
      <c r="AA256">
        <v>0</v>
      </c>
      <c r="AB256">
        <v>9</v>
      </c>
      <c r="AC256">
        <v>3</v>
      </c>
      <c r="AD256">
        <v>0</v>
      </c>
      <c r="AE256">
        <v>10</v>
      </c>
      <c r="AF256" t="s">
        <v>126</v>
      </c>
      <c r="AG256">
        <v>0</v>
      </c>
      <c r="AH256">
        <v>0</v>
      </c>
      <c r="AI256">
        <v>2</v>
      </c>
      <c r="AJ256">
        <v>0</v>
      </c>
      <c r="AK256" t="s">
        <v>249</v>
      </c>
      <c r="AL256">
        <v>31.960645</v>
      </c>
      <c r="AM256" t="s">
        <v>264</v>
      </c>
      <c r="AN256">
        <v>-101.138592</v>
      </c>
      <c r="AQ256" t="s">
        <v>129</v>
      </c>
      <c r="AR256">
        <v>91</v>
      </c>
      <c r="AS256">
        <v>11</v>
      </c>
      <c r="AT256">
        <v>-320</v>
      </c>
      <c r="BB256" t="str">
        <f t="shared" si="30"/>
        <v>1200</v>
      </c>
      <c r="BC256">
        <v>1</v>
      </c>
      <c r="BD256" t="str">
        <f t="shared" si="34"/>
        <v xml:space="preserve">N745MB  </v>
      </c>
      <c r="BE256">
        <v>1</v>
      </c>
      <c r="BG256">
        <v>0</v>
      </c>
      <c r="BH256">
        <v>0</v>
      </c>
      <c r="BI256">
        <v>0</v>
      </c>
      <c r="BL256" t="s">
        <v>130</v>
      </c>
      <c r="BM256">
        <v>1</v>
      </c>
      <c r="BN256">
        <v>0</v>
      </c>
      <c r="BO256">
        <v>0</v>
      </c>
      <c r="BP256">
        <v>0</v>
      </c>
      <c r="BT256">
        <v>0</v>
      </c>
      <c r="BU256">
        <v>0</v>
      </c>
      <c r="CE256" t="str">
        <f>"20:20:32.068"</f>
        <v>20:20:32.068</v>
      </c>
      <c r="CF256">
        <v>68376611</v>
      </c>
      <c r="CS256">
        <v>0</v>
      </c>
      <c r="CT256">
        <v>2</v>
      </c>
      <c r="CU256">
        <v>0</v>
      </c>
      <c r="CV256">
        <v>2</v>
      </c>
      <c r="CW256">
        <v>0</v>
      </c>
      <c r="CX256">
        <v>2</v>
      </c>
      <c r="CY256">
        <v>7</v>
      </c>
      <c r="CZ256" t="s">
        <v>131</v>
      </c>
      <c r="DA256">
        <v>116</v>
      </c>
      <c r="DB256">
        <v>3</v>
      </c>
      <c r="DC256" t="s">
        <v>132</v>
      </c>
      <c r="DD256" t="s">
        <v>133</v>
      </c>
      <c r="DG256">
        <v>8235032</v>
      </c>
      <c r="DI256">
        <v>0</v>
      </c>
      <c r="DJ256">
        <v>0</v>
      </c>
      <c r="DK256">
        <v>1</v>
      </c>
      <c r="DL256">
        <v>0</v>
      </c>
      <c r="DM256">
        <v>0</v>
      </c>
      <c r="DN256">
        <v>0</v>
      </c>
      <c r="DO256">
        <v>0</v>
      </c>
      <c r="DP256">
        <v>1</v>
      </c>
      <c r="DQ256">
        <v>0</v>
      </c>
      <c r="DR256">
        <v>0</v>
      </c>
      <c r="DS256">
        <v>0</v>
      </c>
    </row>
    <row r="257" spans="1:123" x14ac:dyDescent="0.25">
      <c r="A257" t="str">
        <f>"11/29/2023 20:20:34.929"</f>
        <v>11/29/2023 20:20:34.929</v>
      </c>
      <c r="C257" t="str">
        <f t="shared" si="36"/>
        <v>FFDF53C0</v>
      </c>
      <c r="D257" t="s">
        <v>135</v>
      </c>
      <c r="E257">
        <v>31</v>
      </c>
      <c r="H257">
        <v>285</v>
      </c>
      <c r="I257" t="s">
        <v>136</v>
      </c>
      <c r="J257" t="s">
        <v>137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"20:20:34.602"</f>
        <v>20:20:34.602</v>
      </c>
      <c r="T257" t="str">
        <f>"20:20:34.102"</f>
        <v>20:20:34.102</v>
      </c>
      <c r="U257" t="str">
        <f t="shared" si="29"/>
        <v>AA0632</v>
      </c>
      <c r="V257">
        <v>0</v>
      </c>
      <c r="W257">
        <v>0</v>
      </c>
      <c r="X257">
        <v>2</v>
      </c>
      <c r="Y257">
        <v>0</v>
      </c>
      <c r="AA257">
        <v>0</v>
      </c>
      <c r="AB257">
        <v>9</v>
      </c>
      <c r="AC257">
        <v>3</v>
      </c>
      <c r="AD257">
        <v>0</v>
      </c>
      <c r="AE257">
        <v>10</v>
      </c>
      <c r="AF257" t="s">
        <v>126</v>
      </c>
      <c r="AG257">
        <v>0</v>
      </c>
      <c r="AH257">
        <v>0</v>
      </c>
      <c r="AI257">
        <v>2</v>
      </c>
      <c r="AJ257">
        <v>0</v>
      </c>
      <c r="AK257" t="s">
        <v>265</v>
      </c>
      <c r="AL257">
        <v>31.960816000000001</v>
      </c>
      <c r="AM257" t="s">
        <v>266</v>
      </c>
      <c r="AN257">
        <v>-101.137326</v>
      </c>
      <c r="AQ257" t="s">
        <v>129</v>
      </c>
      <c r="AR257">
        <v>91</v>
      </c>
      <c r="AS257">
        <v>11</v>
      </c>
      <c r="AT257">
        <v>64</v>
      </c>
      <c r="BB257" t="str">
        <f t="shared" si="30"/>
        <v>1200</v>
      </c>
      <c r="BC257">
        <v>1</v>
      </c>
      <c r="BD257" t="str">
        <f t="shared" si="34"/>
        <v xml:space="preserve">N745MB  </v>
      </c>
      <c r="BE257">
        <v>1</v>
      </c>
      <c r="BG257">
        <v>0</v>
      </c>
      <c r="BH257">
        <v>0</v>
      </c>
      <c r="BI257">
        <v>0</v>
      </c>
      <c r="BL257" t="s">
        <v>130</v>
      </c>
      <c r="BM257">
        <v>1</v>
      </c>
      <c r="BN257">
        <v>0</v>
      </c>
      <c r="BO257">
        <v>0</v>
      </c>
      <c r="BP257">
        <v>0</v>
      </c>
      <c r="BT257">
        <v>0</v>
      </c>
      <c r="BU257">
        <v>0</v>
      </c>
      <c r="CE257" t="str">
        <f>"20:20:34.608"</f>
        <v>20:20:34.608</v>
      </c>
      <c r="CF257">
        <v>608205916</v>
      </c>
      <c r="CS257">
        <v>0</v>
      </c>
      <c r="CT257">
        <v>2</v>
      </c>
      <c r="CU257">
        <v>0</v>
      </c>
      <c r="CV257">
        <v>2</v>
      </c>
      <c r="CW257">
        <v>0</v>
      </c>
      <c r="CX257">
        <v>1</v>
      </c>
      <c r="CY257">
        <v>7</v>
      </c>
      <c r="CZ257" t="s">
        <v>131</v>
      </c>
      <c r="DA257">
        <v>116</v>
      </c>
      <c r="DB257">
        <v>3</v>
      </c>
      <c r="DC257" t="s">
        <v>132</v>
      </c>
      <c r="DD257" t="s">
        <v>133</v>
      </c>
      <c r="DG257">
        <v>8236420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1</v>
      </c>
      <c r="DQ257">
        <v>0</v>
      </c>
      <c r="DR257">
        <v>0</v>
      </c>
      <c r="DS257">
        <v>0</v>
      </c>
    </row>
    <row r="258" spans="1:123" x14ac:dyDescent="0.25">
      <c r="A258" t="str">
        <f>"11/29/2023 20:20:34.929"</f>
        <v>11/29/2023 20:20:34.929</v>
      </c>
      <c r="C258" t="str">
        <f t="shared" si="36"/>
        <v>FFDF53C0</v>
      </c>
      <c r="D258" t="s">
        <v>123</v>
      </c>
      <c r="E258">
        <v>14</v>
      </c>
      <c r="F258">
        <v>1014</v>
      </c>
      <c r="G258" t="s">
        <v>124</v>
      </c>
      <c r="J258" t="s">
        <v>125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"20:20:34.602"</f>
        <v>20:20:34.602</v>
      </c>
      <c r="T258" t="str">
        <f>"20:20:34.102"</f>
        <v>20:20:34.102</v>
      </c>
      <c r="U258" t="str">
        <f t="shared" ref="U258:U321" si="37">"AA0632"</f>
        <v>AA0632</v>
      </c>
      <c r="V258">
        <v>0</v>
      </c>
      <c r="W258">
        <v>0</v>
      </c>
      <c r="X258">
        <v>2</v>
      </c>
      <c r="Y258">
        <v>0</v>
      </c>
      <c r="AA258">
        <v>0</v>
      </c>
      <c r="AB258">
        <v>9</v>
      </c>
      <c r="AC258">
        <v>3</v>
      </c>
      <c r="AD258">
        <v>0</v>
      </c>
      <c r="AE258">
        <v>10</v>
      </c>
      <c r="AF258" t="s">
        <v>126</v>
      </c>
      <c r="AG258">
        <v>0</v>
      </c>
      <c r="AH258">
        <v>0</v>
      </c>
      <c r="AI258">
        <v>2</v>
      </c>
      <c r="AJ258">
        <v>0</v>
      </c>
      <c r="AK258" t="s">
        <v>265</v>
      </c>
      <c r="AL258">
        <v>31.960816000000001</v>
      </c>
      <c r="AM258" t="s">
        <v>266</v>
      </c>
      <c r="AN258">
        <v>-101.137326</v>
      </c>
      <c r="AQ258" t="s">
        <v>129</v>
      </c>
      <c r="AR258">
        <v>91</v>
      </c>
      <c r="AS258">
        <v>11</v>
      </c>
      <c r="AT258">
        <v>64</v>
      </c>
      <c r="BB258" t="str">
        <f t="shared" ref="BB258:BB321" si="38">"1200"</f>
        <v>1200</v>
      </c>
      <c r="BC258">
        <v>1</v>
      </c>
      <c r="BD258" t="str">
        <f t="shared" si="34"/>
        <v xml:space="preserve">N745MB  </v>
      </c>
      <c r="BE258">
        <v>1</v>
      </c>
      <c r="BG258">
        <v>0</v>
      </c>
      <c r="BH258">
        <v>0</v>
      </c>
      <c r="BI258">
        <v>0</v>
      </c>
      <c r="BL258" t="s">
        <v>130</v>
      </c>
      <c r="BM258">
        <v>1</v>
      </c>
      <c r="BN258">
        <v>0</v>
      </c>
      <c r="BO258">
        <v>0</v>
      </c>
      <c r="BP258">
        <v>0</v>
      </c>
      <c r="BT258">
        <v>0</v>
      </c>
      <c r="BU258">
        <v>0</v>
      </c>
      <c r="CE258" t="str">
        <f>"20:20:34.608"</f>
        <v>20:20:34.608</v>
      </c>
      <c r="CF258">
        <v>608205916</v>
      </c>
      <c r="CS258">
        <v>0</v>
      </c>
      <c r="CT258">
        <v>2</v>
      </c>
      <c r="CU258">
        <v>0</v>
      </c>
      <c r="CV258">
        <v>2</v>
      </c>
      <c r="CW258">
        <v>0</v>
      </c>
      <c r="CX258">
        <v>1</v>
      </c>
      <c r="CY258">
        <v>7</v>
      </c>
      <c r="CZ258" t="s">
        <v>131</v>
      </c>
      <c r="DA258">
        <v>116</v>
      </c>
      <c r="DB258">
        <v>3</v>
      </c>
      <c r="DC258" t="s">
        <v>132</v>
      </c>
      <c r="DD258" t="s">
        <v>133</v>
      </c>
      <c r="DG258">
        <v>8236420</v>
      </c>
      <c r="DI258">
        <v>0</v>
      </c>
      <c r="DJ258">
        <v>0</v>
      </c>
      <c r="DK258">
        <v>1</v>
      </c>
      <c r="DL258">
        <v>0</v>
      </c>
      <c r="DM258">
        <v>0</v>
      </c>
      <c r="DN258">
        <v>0</v>
      </c>
      <c r="DO258">
        <v>0</v>
      </c>
      <c r="DP258">
        <v>1</v>
      </c>
      <c r="DQ258">
        <v>0</v>
      </c>
      <c r="DR258">
        <v>0</v>
      </c>
      <c r="DS258">
        <v>0</v>
      </c>
    </row>
    <row r="259" spans="1:123" x14ac:dyDescent="0.25">
      <c r="A259" t="str">
        <f>"11/29/2023 20:20:34.929"</f>
        <v>11/29/2023 20:20:34.929</v>
      </c>
      <c r="C259" t="str">
        <f t="shared" si="36"/>
        <v>FFDF53C0</v>
      </c>
      <c r="D259" t="s">
        <v>138</v>
      </c>
      <c r="E259">
        <v>3</v>
      </c>
      <c r="H259">
        <v>160</v>
      </c>
      <c r="I259" t="s">
        <v>124</v>
      </c>
      <c r="J259" t="s">
        <v>139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"20:20:34.602"</f>
        <v>20:20:34.602</v>
      </c>
      <c r="T259" t="str">
        <f>"20:20:34.102"</f>
        <v>20:20:34.102</v>
      </c>
      <c r="U259" t="str">
        <f t="shared" si="37"/>
        <v>AA0632</v>
      </c>
      <c r="V259">
        <v>0</v>
      </c>
      <c r="W259">
        <v>0</v>
      </c>
      <c r="X259">
        <v>2</v>
      </c>
      <c r="Y259">
        <v>0</v>
      </c>
      <c r="AA259">
        <v>0</v>
      </c>
      <c r="AB259">
        <v>9</v>
      </c>
      <c r="AC259">
        <v>3</v>
      </c>
      <c r="AD259">
        <v>0</v>
      </c>
      <c r="AE259">
        <v>10</v>
      </c>
      <c r="AF259" t="s">
        <v>126</v>
      </c>
      <c r="AG259">
        <v>0</v>
      </c>
      <c r="AH259">
        <v>0</v>
      </c>
      <c r="AI259">
        <v>2</v>
      </c>
      <c r="AJ259">
        <v>0</v>
      </c>
      <c r="AK259" t="s">
        <v>265</v>
      </c>
      <c r="AL259">
        <v>31.960816000000001</v>
      </c>
      <c r="AM259" t="s">
        <v>266</v>
      </c>
      <c r="AN259">
        <v>-101.137326</v>
      </c>
      <c r="AQ259" t="s">
        <v>129</v>
      </c>
      <c r="AR259">
        <v>91</v>
      </c>
      <c r="AS259">
        <v>11</v>
      </c>
      <c r="AT259">
        <v>64</v>
      </c>
      <c r="BB259" t="str">
        <f t="shared" si="38"/>
        <v>1200</v>
      </c>
      <c r="BC259">
        <v>1</v>
      </c>
      <c r="BD259" t="str">
        <f t="shared" si="34"/>
        <v xml:space="preserve">N745MB  </v>
      </c>
      <c r="BE259">
        <v>1</v>
      </c>
      <c r="BG259">
        <v>0</v>
      </c>
      <c r="BH259">
        <v>0</v>
      </c>
      <c r="BI259">
        <v>0</v>
      </c>
      <c r="BL259" t="s">
        <v>130</v>
      </c>
      <c r="BM259">
        <v>1</v>
      </c>
      <c r="BN259">
        <v>0</v>
      </c>
      <c r="BO259">
        <v>0</v>
      </c>
      <c r="BP259">
        <v>0</v>
      </c>
      <c r="BT259">
        <v>0</v>
      </c>
      <c r="BU259">
        <v>0</v>
      </c>
      <c r="CE259" t="str">
        <f>"20:20:34.608"</f>
        <v>20:20:34.608</v>
      </c>
      <c r="CF259">
        <v>608205916</v>
      </c>
      <c r="CS259">
        <v>0</v>
      </c>
      <c r="CT259">
        <v>2</v>
      </c>
      <c r="CU259">
        <v>0</v>
      </c>
      <c r="CV259">
        <v>2</v>
      </c>
      <c r="CW259">
        <v>0</v>
      </c>
      <c r="CX259">
        <v>1</v>
      </c>
      <c r="CY259">
        <v>7</v>
      </c>
      <c r="CZ259" t="s">
        <v>131</v>
      </c>
      <c r="DA259">
        <v>116</v>
      </c>
      <c r="DB259">
        <v>3</v>
      </c>
      <c r="DC259" t="s">
        <v>132</v>
      </c>
      <c r="DD259" t="s">
        <v>133</v>
      </c>
      <c r="DG259">
        <v>8236420</v>
      </c>
      <c r="DI259">
        <v>0</v>
      </c>
      <c r="DJ259">
        <v>0</v>
      </c>
      <c r="DK259">
        <v>1</v>
      </c>
      <c r="DL259">
        <v>0</v>
      </c>
      <c r="DM259">
        <v>0</v>
      </c>
      <c r="DN259">
        <v>0</v>
      </c>
      <c r="DO259">
        <v>0</v>
      </c>
      <c r="DP259">
        <v>1</v>
      </c>
      <c r="DQ259">
        <v>0</v>
      </c>
      <c r="DR259">
        <v>0</v>
      </c>
      <c r="DS259">
        <v>0</v>
      </c>
    </row>
    <row r="260" spans="1:123" x14ac:dyDescent="0.25">
      <c r="A260" t="str">
        <f>"11/29/2023 20:20:34.929"</f>
        <v>11/29/2023 20:20:34.929</v>
      </c>
      <c r="C260" t="str">
        <f t="shared" si="36"/>
        <v>FFDF53C0</v>
      </c>
      <c r="D260" t="s">
        <v>123</v>
      </c>
      <c r="E260">
        <v>1</v>
      </c>
      <c r="F260">
        <v>1001</v>
      </c>
      <c r="G260" t="s">
        <v>134</v>
      </c>
      <c r="J260" t="s">
        <v>125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"20:20:34.602"</f>
        <v>20:20:34.602</v>
      </c>
      <c r="T260" t="str">
        <f>"20:20:34.102"</f>
        <v>20:20:34.102</v>
      </c>
      <c r="U260" t="str">
        <f t="shared" si="37"/>
        <v>AA0632</v>
      </c>
      <c r="V260">
        <v>0</v>
      </c>
      <c r="W260">
        <v>0</v>
      </c>
      <c r="X260">
        <v>2</v>
      </c>
      <c r="Y260">
        <v>0</v>
      </c>
      <c r="AA260">
        <v>0</v>
      </c>
      <c r="AB260">
        <v>9</v>
      </c>
      <c r="AC260">
        <v>3</v>
      </c>
      <c r="AD260">
        <v>0</v>
      </c>
      <c r="AE260">
        <v>10</v>
      </c>
      <c r="AF260" t="s">
        <v>126</v>
      </c>
      <c r="AG260">
        <v>0</v>
      </c>
      <c r="AH260">
        <v>0</v>
      </c>
      <c r="AI260">
        <v>2</v>
      </c>
      <c r="AJ260">
        <v>0</v>
      </c>
      <c r="AK260" t="s">
        <v>265</v>
      </c>
      <c r="AL260">
        <v>31.960816000000001</v>
      </c>
      <c r="AM260" t="s">
        <v>266</v>
      </c>
      <c r="AN260">
        <v>-101.137326</v>
      </c>
      <c r="AQ260" t="s">
        <v>129</v>
      </c>
      <c r="AR260">
        <v>91</v>
      </c>
      <c r="AS260">
        <v>11</v>
      </c>
      <c r="AT260">
        <v>64</v>
      </c>
      <c r="BB260" t="str">
        <f t="shared" si="38"/>
        <v>1200</v>
      </c>
      <c r="BC260">
        <v>1</v>
      </c>
      <c r="BD260" t="str">
        <f t="shared" si="34"/>
        <v xml:space="preserve">N745MB  </v>
      </c>
      <c r="BE260">
        <v>1</v>
      </c>
      <c r="BG260">
        <v>0</v>
      </c>
      <c r="BH260">
        <v>0</v>
      </c>
      <c r="BI260">
        <v>0</v>
      </c>
      <c r="BL260" t="s">
        <v>130</v>
      </c>
      <c r="BM260">
        <v>1</v>
      </c>
      <c r="BN260">
        <v>0</v>
      </c>
      <c r="BO260">
        <v>0</v>
      </c>
      <c r="BP260">
        <v>0</v>
      </c>
      <c r="BT260">
        <v>0</v>
      </c>
      <c r="BU260">
        <v>0</v>
      </c>
      <c r="CE260" t="str">
        <f>"20:20:34.608"</f>
        <v>20:20:34.608</v>
      </c>
      <c r="CF260">
        <v>608205916</v>
      </c>
      <c r="CS260">
        <v>0</v>
      </c>
      <c r="CT260">
        <v>2</v>
      </c>
      <c r="CU260">
        <v>0</v>
      </c>
      <c r="CV260">
        <v>2</v>
      </c>
      <c r="CW260">
        <v>0</v>
      </c>
      <c r="CX260">
        <v>1</v>
      </c>
      <c r="CY260">
        <v>7</v>
      </c>
      <c r="CZ260" t="s">
        <v>131</v>
      </c>
      <c r="DA260">
        <v>116</v>
      </c>
      <c r="DB260">
        <v>3</v>
      </c>
      <c r="DC260" t="s">
        <v>132</v>
      </c>
      <c r="DD260" t="s">
        <v>133</v>
      </c>
      <c r="DG260">
        <v>8236420</v>
      </c>
      <c r="DI260">
        <v>0</v>
      </c>
      <c r="DJ260">
        <v>0</v>
      </c>
      <c r="DK260">
        <v>1</v>
      </c>
      <c r="DL260">
        <v>0</v>
      </c>
      <c r="DM260">
        <v>0</v>
      </c>
      <c r="DN260">
        <v>0</v>
      </c>
      <c r="DO260">
        <v>0</v>
      </c>
      <c r="DP260">
        <v>1</v>
      </c>
      <c r="DQ260">
        <v>0</v>
      </c>
      <c r="DR260">
        <v>0</v>
      </c>
      <c r="DS260">
        <v>0</v>
      </c>
    </row>
    <row r="261" spans="1:123" x14ac:dyDescent="0.25">
      <c r="A261" t="str">
        <f>"11/29/2023 20:20:36.461"</f>
        <v>11/29/2023 20:20:36.461</v>
      </c>
      <c r="C261" t="str">
        <f t="shared" si="36"/>
        <v>FFDF53C0</v>
      </c>
      <c r="D261" t="s">
        <v>135</v>
      </c>
      <c r="E261">
        <v>31</v>
      </c>
      <c r="H261">
        <v>285</v>
      </c>
      <c r="I261" t="s">
        <v>136</v>
      </c>
      <c r="J261" t="s">
        <v>137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"20:20:36.141"</f>
        <v>20:20:36.141</v>
      </c>
      <c r="T261" t="str">
        <f>"20:20:35.941"</f>
        <v>20:20:35.941</v>
      </c>
      <c r="U261" t="str">
        <f t="shared" si="37"/>
        <v>AA0632</v>
      </c>
      <c r="V261">
        <v>0</v>
      </c>
      <c r="W261">
        <v>0</v>
      </c>
      <c r="X261">
        <v>2</v>
      </c>
      <c r="Y261">
        <v>0</v>
      </c>
      <c r="AA261">
        <v>0</v>
      </c>
      <c r="AB261">
        <v>9</v>
      </c>
      <c r="AC261">
        <v>3</v>
      </c>
      <c r="AD261">
        <v>0</v>
      </c>
      <c r="AE261">
        <v>10</v>
      </c>
      <c r="AF261" t="s">
        <v>126</v>
      </c>
      <c r="AG261">
        <v>0</v>
      </c>
      <c r="AH261">
        <v>0</v>
      </c>
      <c r="AI261">
        <v>2</v>
      </c>
      <c r="AJ261">
        <v>0</v>
      </c>
      <c r="AK261" t="s">
        <v>267</v>
      </c>
      <c r="AL261">
        <v>31.960858999999999</v>
      </c>
      <c r="AM261" t="s">
        <v>268</v>
      </c>
      <c r="AN261">
        <v>-101.136596</v>
      </c>
      <c r="AQ261" t="s">
        <v>129</v>
      </c>
      <c r="AR261">
        <v>90</v>
      </c>
      <c r="AS261">
        <v>9</v>
      </c>
      <c r="AT261">
        <v>192</v>
      </c>
      <c r="BB261" t="str">
        <f t="shared" si="38"/>
        <v>1200</v>
      </c>
      <c r="BC261">
        <v>1</v>
      </c>
      <c r="BD261" t="str">
        <f t="shared" si="34"/>
        <v xml:space="preserve">N745MB  </v>
      </c>
      <c r="BE261">
        <v>1</v>
      </c>
      <c r="BG261">
        <v>0</v>
      </c>
      <c r="BH261">
        <v>0</v>
      </c>
      <c r="BI261">
        <v>0</v>
      </c>
      <c r="BL261" t="s">
        <v>130</v>
      </c>
      <c r="BM261">
        <v>1</v>
      </c>
      <c r="BN261">
        <v>0</v>
      </c>
      <c r="BO261">
        <v>0</v>
      </c>
      <c r="BP261">
        <v>0</v>
      </c>
      <c r="BT261">
        <v>0</v>
      </c>
      <c r="BU261">
        <v>0</v>
      </c>
      <c r="CE261" t="str">
        <f>"20:20:36.142"</f>
        <v>20:20:36.142</v>
      </c>
      <c r="CF261">
        <v>142111782</v>
      </c>
      <c r="CS261">
        <v>0</v>
      </c>
      <c r="CT261">
        <v>2</v>
      </c>
      <c r="CU261">
        <v>0</v>
      </c>
      <c r="CV261">
        <v>2</v>
      </c>
      <c r="CW261">
        <v>0</v>
      </c>
      <c r="CX261">
        <v>2</v>
      </c>
      <c r="CY261">
        <v>7</v>
      </c>
      <c r="CZ261" t="s">
        <v>131</v>
      </c>
      <c r="DA261">
        <v>116</v>
      </c>
      <c r="DB261">
        <v>3</v>
      </c>
      <c r="DC261" t="s">
        <v>132</v>
      </c>
      <c r="DD261" t="s">
        <v>133</v>
      </c>
      <c r="DG261">
        <v>8237323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1</v>
      </c>
      <c r="DQ261">
        <v>0</v>
      </c>
      <c r="DR261">
        <v>0</v>
      </c>
      <c r="DS261">
        <v>0</v>
      </c>
    </row>
    <row r="262" spans="1:123" x14ac:dyDescent="0.25">
      <c r="A262" t="str">
        <f>"11/29/2023 20:20:36.461"</f>
        <v>11/29/2023 20:20:36.461</v>
      </c>
      <c r="C262" t="str">
        <f t="shared" si="36"/>
        <v>FFDF53C0</v>
      </c>
      <c r="D262" t="s">
        <v>123</v>
      </c>
      <c r="E262">
        <v>1</v>
      </c>
      <c r="F262">
        <v>1001</v>
      </c>
      <c r="G262" t="s">
        <v>134</v>
      </c>
      <c r="J262" t="s">
        <v>125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"20:20:36.141"</f>
        <v>20:20:36.141</v>
      </c>
      <c r="T262" t="str">
        <f>"20:20:35.941"</f>
        <v>20:20:35.941</v>
      </c>
      <c r="U262" t="str">
        <f t="shared" si="37"/>
        <v>AA0632</v>
      </c>
      <c r="V262">
        <v>0</v>
      </c>
      <c r="W262">
        <v>0</v>
      </c>
      <c r="X262">
        <v>2</v>
      </c>
      <c r="Y262">
        <v>0</v>
      </c>
      <c r="AA262">
        <v>0</v>
      </c>
      <c r="AB262">
        <v>9</v>
      </c>
      <c r="AC262">
        <v>3</v>
      </c>
      <c r="AD262">
        <v>0</v>
      </c>
      <c r="AE262">
        <v>10</v>
      </c>
      <c r="AF262" t="s">
        <v>126</v>
      </c>
      <c r="AG262">
        <v>0</v>
      </c>
      <c r="AH262">
        <v>0</v>
      </c>
      <c r="AI262">
        <v>2</v>
      </c>
      <c r="AJ262">
        <v>0</v>
      </c>
      <c r="AK262" t="s">
        <v>267</v>
      </c>
      <c r="AL262">
        <v>31.960858999999999</v>
      </c>
      <c r="AM262" t="s">
        <v>268</v>
      </c>
      <c r="AN262">
        <v>-101.136596</v>
      </c>
      <c r="AQ262" t="s">
        <v>129</v>
      </c>
      <c r="AR262">
        <v>90</v>
      </c>
      <c r="AS262">
        <v>9</v>
      </c>
      <c r="AT262">
        <v>192</v>
      </c>
      <c r="BB262" t="str">
        <f t="shared" si="38"/>
        <v>1200</v>
      </c>
      <c r="BC262">
        <v>1</v>
      </c>
      <c r="BD262" t="str">
        <f t="shared" si="34"/>
        <v xml:space="preserve">N745MB  </v>
      </c>
      <c r="BE262">
        <v>1</v>
      </c>
      <c r="BG262">
        <v>0</v>
      </c>
      <c r="BH262">
        <v>0</v>
      </c>
      <c r="BI262">
        <v>0</v>
      </c>
      <c r="BL262" t="s">
        <v>130</v>
      </c>
      <c r="BM262">
        <v>1</v>
      </c>
      <c r="BN262">
        <v>0</v>
      </c>
      <c r="BO262">
        <v>0</v>
      </c>
      <c r="BP262">
        <v>0</v>
      </c>
      <c r="BT262">
        <v>0</v>
      </c>
      <c r="BU262">
        <v>0</v>
      </c>
      <c r="CE262" t="str">
        <f>"20:20:36.142"</f>
        <v>20:20:36.142</v>
      </c>
      <c r="CF262">
        <v>142111782</v>
      </c>
      <c r="CS262">
        <v>0</v>
      </c>
      <c r="CT262">
        <v>2</v>
      </c>
      <c r="CU262">
        <v>0</v>
      </c>
      <c r="CV262">
        <v>2</v>
      </c>
      <c r="CW262">
        <v>0</v>
      </c>
      <c r="CX262">
        <v>2</v>
      </c>
      <c r="CY262">
        <v>7</v>
      </c>
      <c r="CZ262" t="s">
        <v>131</v>
      </c>
      <c r="DA262">
        <v>116</v>
      </c>
      <c r="DB262">
        <v>3</v>
      </c>
      <c r="DC262" t="s">
        <v>132</v>
      </c>
      <c r="DD262" t="s">
        <v>133</v>
      </c>
      <c r="DG262">
        <v>8237323</v>
      </c>
      <c r="DI262">
        <v>0</v>
      </c>
      <c r="DJ262">
        <v>0</v>
      </c>
      <c r="DK262">
        <v>1</v>
      </c>
      <c r="DL262">
        <v>0</v>
      </c>
      <c r="DM262">
        <v>0</v>
      </c>
      <c r="DN262">
        <v>0</v>
      </c>
      <c r="DO262">
        <v>0</v>
      </c>
      <c r="DP262">
        <v>1</v>
      </c>
      <c r="DQ262">
        <v>0</v>
      </c>
      <c r="DR262">
        <v>0</v>
      </c>
      <c r="DS262">
        <v>0</v>
      </c>
    </row>
    <row r="263" spans="1:123" x14ac:dyDescent="0.25">
      <c r="A263" t="str">
        <f>"11/29/2023 20:20:36.461"</f>
        <v>11/29/2023 20:20:36.461</v>
      </c>
      <c r="C263" t="str">
        <f t="shared" si="36"/>
        <v>FFDF53C0</v>
      </c>
      <c r="D263" t="s">
        <v>123</v>
      </c>
      <c r="E263">
        <v>14</v>
      </c>
      <c r="F263">
        <v>1014</v>
      </c>
      <c r="G263" t="s">
        <v>124</v>
      </c>
      <c r="J263" t="s">
        <v>125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"20:20:36.141"</f>
        <v>20:20:36.141</v>
      </c>
      <c r="T263" t="str">
        <f>"20:20:35.941"</f>
        <v>20:20:35.941</v>
      </c>
      <c r="U263" t="str">
        <f t="shared" si="37"/>
        <v>AA0632</v>
      </c>
      <c r="V263">
        <v>0</v>
      </c>
      <c r="W263">
        <v>0</v>
      </c>
      <c r="X263">
        <v>2</v>
      </c>
      <c r="Y263">
        <v>0</v>
      </c>
      <c r="AA263">
        <v>0</v>
      </c>
      <c r="AB263">
        <v>9</v>
      </c>
      <c r="AC263">
        <v>3</v>
      </c>
      <c r="AD263">
        <v>0</v>
      </c>
      <c r="AE263">
        <v>10</v>
      </c>
      <c r="AF263" t="s">
        <v>126</v>
      </c>
      <c r="AG263">
        <v>0</v>
      </c>
      <c r="AH263">
        <v>0</v>
      </c>
      <c r="AI263">
        <v>2</v>
      </c>
      <c r="AJ263">
        <v>0</v>
      </c>
      <c r="AK263" t="s">
        <v>267</v>
      </c>
      <c r="AL263">
        <v>31.960858999999999</v>
      </c>
      <c r="AM263" t="s">
        <v>268</v>
      </c>
      <c r="AN263">
        <v>-101.136596</v>
      </c>
      <c r="AQ263" t="s">
        <v>129</v>
      </c>
      <c r="AR263">
        <v>90</v>
      </c>
      <c r="AS263">
        <v>9</v>
      </c>
      <c r="AT263">
        <v>192</v>
      </c>
      <c r="BB263" t="str">
        <f t="shared" si="38"/>
        <v>1200</v>
      </c>
      <c r="BC263">
        <v>1</v>
      </c>
      <c r="BD263" t="str">
        <f t="shared" si="34"/>
        <v xml:space="preserve">N745MB  </v>
      </c>
      <c r="BE263">
        <v>1</v>
      </c>
      <c r="BG263">
        <v>0</v>
      </c>
      <c r="BH263">
        <v>0</v>
      </c>
      <c r="BI263">
        <v>0</v>
      </c>
      <c r="BL263" t="s">
        <v>130</v>
      </c>
      <c r="BM263">
        <v>1</v>
      </c>
      <c r="BN263">
        <v>0</v>
      </c>
      <c r="BO263">
        <v>0</v>
      </c>
      <c r="BP263">
        <v>0</v>
      </c>
      <c r="BT263">
        <v>0</v>
      </c>
      <c r="BU263">
        <v>0</v>
      </c>
      <c r="CE263" t="str">
        <f>"20:20:36.142"</f>
        <v>20:20:36.142</v>
      </c>
      <c r="CF263">
        <v>142111782</v>
      </c>
      <c r="CS263">
        <v>0</v>
      </c>
      <c r="CT263">
        <v>2</v>
      </c>
      <c r="CU263">
        <v>0</v>
      </c>
      <c r="CV263">
        <v>2</v>
      </c>
      <c r="CW263">
        <v>0</v>
      </c>
      <c r="CX263">
        <v>2</v>
      </c>
      <c r="CY263">
        <v>7</v>
      </c>
      <c r="CZ263" t="s">
        <v>131</v>
      </c>
      <c r="DA263">
        <v>116</v>
      </c>
      <c r="DB263">
        <v>3</v>
      </c>
      <c r="DC263" t="s">
        <v>132</v>
      </c>
      <c r="DD263" t="s">
        <v>133</v>
      </c>
      <c r="DG263">
        <v>8237323</v>
      </c>
      <c r="DI263">
        <v>0</v>
      </c>
      <c r="DJ263">
        <v>0</v>
      </c>
      <c r="DK263">
        <v>1</v>
      </c>
      <c r="DL263">
        <v>0</v>
      </c>
      <c r="DM263">
        <v>0</v>
      </c>
      <c r="DN263">
        <v>0</v>
      </c>
      <c r="DO263">
        <v>0</v>
      </c>
      <c r="DP263">
        <v>1</v>
      </c>
      <c r="DQ263">
        <v>0</v>
      </c>
      <c r="DR263">
        <v>0</v>
      </c>
      <c r="DS263">
        <v>0</v>
      </c>
    </row>
    <row r="264" spans="1:123" x14ac:dyDescent="0.25">
      <c r="A264" t="str">
        <f>"11/29/2023 20:20:36.461"</f>
        <v>11/29/2023 20:20:36.461</v>
      </c>
      <c r="C264" t="str">
        <f t="shared" si="36"/>
        <v>FFDF53C0</v>
      </c>
      <c r="D264" t="s">
        <v>138</v>
      </c>
      <c r="E264">
        <v>3</v>
      </c>
      <c r="H264">
        <v>160</v>
      </c>
      <c r="I264" t="s">
        <v>124</v>
      </c>
      <c r="J264" t="s">
        <v>139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"20:20:36.141"</f>
        <v>20:20:36.141</v>
      </c>
      <c r="T264" t="str">
        <f>"20:20:35.941"</f>
        <v>20:20:35.941</v>
      </c>
      <c r="U264" t="str">
        <f t="shared" si="37"/>
        <v>AA0632</v>
      </c>
      <c r="V264">
        <v>0</v>
      </c>
      <c r="W264">
        <v>0</v>
      </c>
      <c r="X264">
        <v>2</v>
      </c>
      <c r="Y264">
        <v>0</v>
      </c>
      <c r="AA264">
        <v>0</v>
      </c>
      <c r="AB264">
        <v>9</v>
      </c>
      <c r="AC264">
        <v>3</v>
      </c>
      <c r="AD264">
        <v>0</v>
      </c>
      <c r="AE264">
        <v>10</v>
      </c>
      <c r="AF264" t="s">
        <v>126</v>
      </c>
      <c r="AG264">
        <v>0</v>
      </c>
      <c r="AH264">
        <v>0</v>
      </c>
      <c r="AI264">
        <v>2</v>
      </c>
      <c r="AJ264">
        <v>0</v>
      </c>
      <c r="AK264" t="s">
        <v>267</v>
      </c>
      <c r="AL264">
        <v>31.960858999999999</v>
      </c>
      <c r="AM264" t="s">
        <v>268</v>
      </c>
      <c r="AN264">
        <v>-101.136596</v>
      </c>
      <c r="AQ264" t="s">
        <v>129</v>
      </c>
      <c r="AR264">
        <v>90</v>
      </c>
      <c r="AS264">
        <v>9</v>
      </c>
      <c r="AT264">
        <v>192</v>
      </c>
      <c r="BB264" t="str">
        <f t="shared" si="38"/>
        <v>1200</v>
      </c>
      <c r="BC264">
        <v>1</v>
      </c>
      <c r="BD264" t="str">
        <f t="shared" si="34"/>
        <v xml:space="preserve">N745MB  </v>
      </c>
      <c r="BE264">
        <v>1</v>
      </c>
      <c r="BG264">
        <v>0</v>
      </c>
      <c r="BH264">
        <v>0</v>
      </c>
      <c r="BI264">
        <v>0</v>
      </c>
      <c r="BL264" t="s">
        <v>130</v>
      </c>
      <c r="BM264">
        <v>1</v>
      </c>
      <c r="BN264">
        <v>0</v>
      </c>
      <c r="BO264">
        <v>0</v>
      </c>
      <c r="BP264">
        <v>0</v>
      </c>
      <c r="BT264">
        <v>0</v>
      </c>
      <c r="BU264">
        <v>0</v>
      </c>
      <c r="CE264" t="str">
        <f>"20:20:36.142"</f>
        <v>20:20:36.142</v>
      </c>
      <c r="CF264">
        <v>142111782</v>
      </c>
      <c r="CS264">
        <v>0</v>
      </c>
      <c r="CT264">
        <v>2</v>
      </c>
      <c r="CU264">
        <v>0</v>
      </c>
      <c r="CV264">
        <v>2</v>
      </c>
      <c r="CW264">
        <v>0</v>
      </c>
      <c r="CX264">
        <v>2</v>
      </c>
      <c r="CY264">
        <v>7</v>
      </c>
      <c r="CZ264" t="s">
        <v>131</v>
      </c>
      <c r="DA264">
        <v>116</v>
      </c>
      <c r="DB264">
        <v>3</v>
      </c>
      <c r="DC264" t="s">
        <v>132</v>
      </c>
      <c r="DD264" t="s">
        <v>133</v>
      </c>
      <c r="DG264">
        <v>8237323</v>
      </c>
      <c r="DI264">
        <v>0</v>
      </c>
      <c r="DJ264">
        <v>0</v>
      </c>
      <c r="DK264">
        <v>1</v>
      </c>
      <c r="DL264">
        <v>0</v>
      </c>
      <c r="DM264">
        <v>0</v>
      </c>
      <c r="DN264">
        <v>0</v>
      </c>
      <c r="DO264">
        <v>0</v>
      </c>
      <c r="DP264">
        <v>1</v>
      </c>
      <c r="DQ264">
        <v>0</v>
      </c>
      <c r="DR264">
        <v>0</v>
      </c>
      <c r="DS264">
        <v>0</v>
      </c>
    </row>
    <row r="265" spans="1:123" x14ac:dyDescent="0.25">
      <c r="A265" t="str">
        <f>"11/29/2023 20:20:37.914"</f>
        <v>11/29/2023 20:20:37.914</v>
      </c>
      <c r="C265" t="str">
        <f t="shared" si="36"/>
        <v>FFDF53C0</v>
      </c>
      <c r="D265" t="s">
        <v>135</v>
      </c>
      <c r="E265">
        <v>31</v>
      </c>
      <c r="H265">
        <v>285</v>
      </c>
      <c r="I265" t="s">
        <v>136</v>
      </c>
      <c r="J265" t="s">
        <v>137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"20:20:37.555"</f>
        <v>20:20:37.555</v>
      </c>
      <c r="T265" t="str">
        <f>"20:20:37.355"</f>
        <v>20:20:37.355</v>
      </c>
      <c r="U265" t="str">
        <f t="shared" si="37"/>
        <v>AA0632</v>
      </c>
      <c r="V265">
        <v>0</v>
      </c>
      <c r="W265">
        <v>0</v>
      </c>
      <c r="X265">
        <v>2</v>
      </c>
      <c r="Y265">
        <v>0</v>
      </c>
      <c r="AA265">
        <v>0</v>
      </c>
      <c r="AB265">
        <v>9</v>
      </c>
      <c r="AC265">
        <v>3</v>
      </c>
      <c r="AD265">
        <v>0</v>
      </c>
      <c r="AE265">
        <v>10</v>
      </c>
      <c r="AF265" t="s">
        <v>126</v>
      </c>
      <c r="AG265">
        <v>0</v>
      </c>
      <c r="AH265">
        <v>0</v>
      </c>
      <c r="AI265">
        <v>2</v>
      </c>
      <c r="AJ265">
        <v>0</v>
      </c>
      <c r="AK265" t="s">
        <v>269</v>
      </c>
      <c r="AL265">
        <v>31.960902000000001</v>
      </c>
      <c r="AM265" t="s">
        <v>270</v>
      </c>
      <c r="AN265">
        <v>-101.135931</v>
      </c>
      <c r="AQ265" t="s">
        <v>129</v>
      </c>
      <c r="AR265">
        <v>90</v>
      </c>
      <c r="AS265">
        <v>7</v>
      </c>
      <c r="AT265">
        <v>192</v>
      </c>
      <c r="BB265" t="str">
        <f t="shared" si="38"/>
        <v>1200</v>
      </c>
      <c r="BC265">
        <v>1</v>
      </c>
      <c r="BD265" t="str">
        <f t="shared" si="34"/>
        <v xml:space="preserve">N745MB  </v>
      </c>
      <c r="BE265">
        <v>1</v>
      </c>
      <c r="BG265">
        <v>0</v>
      </c>
      <c r="BH265">
        <v>0</v>
      </c>
      <c r="BI265">
        <v>0</v>
      </c>
      <c r="BL265" t="s">
        <v>130</v>
      </c>
      <c r="BM265">
        <v>1</v>
      </c>
      <c r="BN265">
        <v>0</v>
      </c>
      <c r="BO265">
        <v>0</v>
      </c>
      <c r="BP265">
        <v>0</v>
      </c>
      <c r="BT265">
        <v>0</v>
      </c>
      <c r="BU265">
        <v>0</v>
      </c>
      <c r="CE265" t="str">
        <f>"20:20:37.560"</f>
        <v>20:20:37.560</v>
      </c>
      <c r="CF265">
        <v>560003733</v>
      </c>
      <c r="CS265">
        <v>0</v>
      </c>
      <c r="CT265">
        <v>2</v>
      </c>
      <c r="CU265">
        <v>0</v>
      </c>
      <c r="CV265">
        <v>2</v>
      </c>
      <c r="CW265">
        <v>0</v>
      </c>
      <c r="CX265">
        <v>2</v>
      </c>
      <c r="CY265">
        <v>7</v>
      </c>
      <c r="CZ265" t="s">
        <v>131</v>
      </c>
      <c r="DA265">
        <v>116</v>
      </c>
      <c r="DB265">
        <v>3</v>
      </c>
      <c r="DC265" t="s">
        <v>132</v>
      </c>
      <c r="DD265" t="s">
        <v>133</v>
      </c>
      <c r="DG265">
        <v>8238072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1</v>
      </c>
      <c r="DQ265">
        <v>0</v>
      </c>
      <c r="DR265">
        <v>0</v>
      </c>
      <c r="DS265">
        <v>0</v>
      </c>
    </row>
    <row r="266" spans="1:123" x14ac:dyDescent="0.25">
      <c r="A266" t="str">
        <f>"11/29/2023 20:20:37.914"</f>
        <v>11/29/2023 20:20:37.914</v>
      </c>
      <c r="C266" t="str">
        <f t="shared" si="36"/>
        <v>FFDF53C0</v>
      </c>
      <c r="D266" t="s">
        <v>123</v>
      </c>
      <c r="E266">
        <v>14</v>
      </c>
      <c r="F266">
        <v>1014</v>
      </c>
      <c r="G266" t="s">
        <v>124</v>
      </c>
      <c r="J266" t="s">
        <v>125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"20:20:37.555"</f>
        <v>20:20:37.555</v>
      </c>
      <c r="T266" t="str">
        <f>"20:20:37.355"</f>
        <v>20:20:37.355</v>
      </c>
      <c r="U266" t="str">
        <f t="shared" si="37"/>
        <v>AA0632</v>
      </c>
      <c r="V266">
        <v>0</v>
      </c>
      <c r="W266">
        <v>0</v>
      </c>
      <c r="X266">
        <v>2</v>
      </c>
      <c r="Y266">
        <v>0</v>
      </c>
      <c r="AA266">
        <v>0</v>
      </c>
      <c r="AB266">
        <v>9</v>
      </c>
      <c r="AC266">
        <v>3</v>
      </c>
      <c r="AD266">
        <v>0</v>
      </c>
      <c r="AE266">
        <v>10</v>
      </c>
      <c r="AF266" t="s">
        <v>126</v>
      </c>
      <c r="AG266">
        <v>0</v>
      </c>
      <c r="AH266">
        <v>0</v>
      </c>
      <c r="AI266">
        <v>2</v>
      </c>
      <c r="AJ266">
        <v>0</v>
      </c>
      <c r="AK266" t="s">
        <v>269</v>
      </c>
      <c r="AL266">
        <v>31.960902000000001</v>
      </c>
      <c r="AM266" t="s">
        <v>270</v>
      </c>
      <c r="AN266">
        <v>-101.135931</v>
      </c>
      <c r="AQ266" t="s">
        <v>129</v>
      </c>
      <c r="AR266">
        <v>90</v>
      </c>
      <c r="AS266">
        <v>7</v>
      </c>
      <c r="AT266">
        <v>192</v>
      </c>
      <c r="BB266" t="str">
        <f t="shared" si="38"/>
        <v>1200</v>
      </c>
      <c r="BC266">
        <v>1</v>
      </c>
      <c r="BD266" t="str">
        <f t="shared" si="34"/>
        <v xml:space="preserve">N745MB  </v>
      </c>
      <c r="BE266">
        <v>1</v>
      </c>
      <c r="BG266">
        <v>0</v>
      </c>
      <c r="BH266">
        <v>0</v>
      </c>
      <c r="BI266">
        <v>0</v>
      </c>
      <c r="BL266" t="s">
        <v>130</v>
      </c>
      <c r="BM266">
        <v>1</v>
      </c>
      <c r="BN266">
        <v>0</v>
      </c>
      <c r="BO266">
        <v>0</v>
      </c>
      <c r="BP266">
        <v>0</v>
      </c>
      <c r="BT266">
        <v>0</v>
      </c>
      <c r="BU266">
        <v>0</v>
      </c>
      <c r="CE266" t="str">
        <f>"20:20:37.560"</f>
        <v>20:20:37.560</v>
      </c>
      <c r="CF266">
        <v>560003733</v>
      </c>
      <c r="CS266">
        <v>0</v>
      </c>
      <c r="CT266">
        <v>2</v>
      </c>
      <c r="CU266">
        <v>0</v>
      </c>
      <c r="CV266">
        <v>2</v>
      </c>
      <c r="CW266">
        <v>0</v>
      </c>
      <c r="CX266">
        <v>2</v>
      </c>
      <c r="CY266">
        <v>7</v>
      </c>
      <c r="CZ266" t="s">
        <v>131</v>
      </c>
      <c r="DA266">
        <v>116</v>
      </c>
      <c r="DB266">
        <v>3</v>
      </c>
      <c r="DC266" t="s">
        <v>132</v>
      </c>
      <c r="DD266" t="s">
        <v>133</v>
      </c>
      <c r="DG266">
        <v>8238072</v>
      </c>
      <c r="DI266">
        <v>0</v>
      </c>
      <c r="DJ266">
        <v>0</v>
      </c>
      <c r="DK266">
        <v>1</v>
      </c>
      <c r="DL266">
        <v>0</v>
      </c>
      <c r="DM266">
        <v>0</v>
      </c>
      <c r="DN266">
        <v>0</v>
      </c>
      <c r="DO266">
        <v>0</v>
      </c>
      <c r="DP266">
        <v>1</v>
      </c>
      <c r="DQ266">
        <v>0</v>
      </c>
      <c r="DR266">
        <v>0</v>
      </c>
      <c r="DS266">
        <v>0</v>
      </c>
    </row>
    <row r="267" spans="1:123" x14ac:dyDescent="0.25">
      <c r="A267" t="str">
        <f>"11/29/2023 20:20:37.914"</f>
        <v>11/29/2023 20:20:37.914</v>
      </c>
      <c r="C267" t="str">
        <f t="shared" si="36"/>
        <v>FFDF53C0</v>
      </c>
      <c r="D267" t="s">
        <v>138</v>
      </c>
      <c r="E267">
        <v>3</v>
      </c>
      <c r="H267">
        <v>160</v>
      </c>
      <c r="I267" t="s">
        <v>124</v>
      </c>
      <c r="J267" t="s">
        <v>139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"20:20:37.555"</f>
        <v>20:20:37.555</v>
      </c>
      <c r="T267" t="str">
        <f>"20:20:37.355"</f>
        <v>20:20:37.355</v>
      </c>
      <c r="U267" t="str">
        <f t="shared" si="37"/>
        <v>AA0632</v>
      </c>
      <c r="V267">
        <v>0</v>
      </c>
      <c r="W267">
        <v>0</v>
      </c>
      <c r="X267">
        <v>2</v>
      </c>
      <c r="Y267">
        <v>0</v>
      </c>
      <c r="AA267">
        <v>0</v>
      </c>
      <c r="AB267">
        <v>9</v>
      </c>
      <c r="AC267">
        <v>3</v>
      </c>
      <c r="AD267">
        <v>0</v>
      </c>
      <c r="AE267">
        <v>10</v>
      </c>
      <c r="AF267" t="s">
        <v>126</v>
      </c>
      <c r="AG267">
        <v>0</v>
      </c>
      <c r="AH267">
        <v>0</v>
      </c>
      <c r="AI267">
        <v>2</v>
      </c>
      <c r="AJ267">
        <v>0</v>
      </c>
      <c r="AK267" t="s">
        <v>269</v>
      </c>
      <c r="AL267">
        <v>31.960902000000001</v>
      </c>
      <c r="AM267" t="s">
        <v>270</v>
      </c>
      <c r="AN267">
        <v>-101.135931</v>
      </c>
      <c r="AQ267" t="s">
        <v>129</v>
      </c>
      <c r="AR267">
        <v>90</v>
      </c>
      <c r="AS267">
        <v>7</v>
      </c>
      <c r="AT267">
        <v>192</v>
      </c>
      <c r="BB267" t="str">
        <f t="shared" si="38"/>
        <v>1200</v>
      </c>
      <c r="BC267">
        <v>1</v>
      </c>
      <c r="BD267" t="str">
        <f t="shared" si="34"/>
        <v xml:space="preserve">N745MB  </v>
      </c>
      <c r="BE267">
        <v>1</v>
      </c>
      <c r="BG267">
        <v>0</v>
      </c>
      <c r="BH267">
        <v>0</v>
      </c>
      <c r="BI267">
        <v>0</v>
      </c>
      <c r="BL267" t="s">
        <v>130</v>
      </c>
      <c r="BM267">
        <v>1</v>
      </c>
      <c r="BN267">
        <v>0</v>
      </c>
      <c r="BO267">
        <v>0</v>
      </c>
      <c r="BP267">
        <v>0</v>
      </c>
      <c r="BT267">
        <v>0</v>
      </c>
      <c r="BU267">
        <v>0</v>
      </c>
      <c r="CE267" t="str">
        <f>"20:20:37.560"</f>
        <v>20:20:37.560</v>
      </c>
      <c r="CF267">
        <v>560003733</v>
      </c>
      <c r="CS267">
        <v>0</v>
      </c>
      <c r="CT267">
        <v>2</v>
      </c>
      <c r="CU267">
        <v>0</v>
      </c>
      <c r="CV267">
        <v>2</v>
      </c>
      <c r="CW267">
        <v>0</v>
      </c>
      <c r="CX267">
        <v>2</v>
      </c>
      <c r="CY267">
        <v>7</v>
      </c>
      <c r="CZ267" t="s">
        <v>131</v>
      </c>
      <c r="DA267">
        <v>116</v>
      </c>
      <c r="DB267">
        <v>3</v>
      </c>
      <c r="DC267" t="s">
        <v>132</v>
      </c>
      <c r="DD267" t="s">
        <v>133</v>
      </c>
      <c r="DG267">
        <v>8238072</v>
      </c>
      <c r="DI267">
        <v>0</v>
      </c>
      <c r="DJ267">
        <v>0</v>
      </c>
      <c r="DK267">
        <v>1</v>
      </c>
      <c r="DL267">
        <v>0</v>
      </c>
      <c r="DM267">
        <v>0</v>
      </c>
      <c r="DN267">
        <v>0</v>
      </c>
      <c r="DO267">
        <v>0</v>
      </c>
      <c r="DP267">
        <v>1</v>
      </c>
      <c r="DQ267">
        <v>0</v>
      </c>
      <c r="DR267">
        <v>0</v>
      </c>
      <c r="DS267">
        <v>0</v>
      </c>
    </row>
    <row r="268" spans="1:123" x14ac:dyDescent="0.25">
      <c r="A268" t="str">
        <f>"11/29/2023 20:20:37.914"</f>
        <v>11/29/2023 20:20:37.914</v>
      </c>
      <c r="C268" t="str">
        <f t="shared" si="36"/>
        <v>FFDF53C0</v>
      </c>
      <c r="D268" t="s">
        <v>123</v>
      </c>
      <c r="E268">
        <v>1</v>
      </c>
      <c r="F268">
        <v>1001</v>
      </c>
      <c r="G268" t="s">
        <v>134</v>
      </c>
      <c r="J268" t="s">
        <v>125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"20:20:37.555"</f>
        <v>20:20:37.555</v>
      </c>
      <c r="T268" t="str">
        <f>"20:20:37.355"</f>
        <v>20:20:37.355</v>
      </c>
      <c r="U268" t="str">
        <f t="shared" si="37"/>
        <v>AA0632</v>
      </c>
      <c r="V268">
        <v>0</v>
      </c>
      <c r="W268">
        <v>0</v>
      </c>
      <c r="X268">
        <v>2</v>
      </c>
      <c r="Y268">
        <v>0</v>
      </c>
      <c r="AA268">
        <v>0</v>
      </c>
      <c r="AB268">
        <v>9</v>
      </c>
      <c r="AC268">
        <v>3</v>
      </c>
      <c r="AD268">
        <v>0</v>
      </c>
      <c r="AE268">
        <v>10</v>
      </c>
      <c r="AF268" t="s">
        <v>126</v>
      </c>
      <c r="AG268">
        <v>0</v>
      </c>
      <c r="AH268">
        <v>0</v>
      </c>
      <c r="AI268">
        <v>2</v>
      </c>
      <c r="AJ268">
        <v>0</v>
      </c>
      <c r="AK268" t="s">
        <v>269</v>
      </c>
      <c r="AL268">
        <v>31.960902000000001</v>
      </c>
      <c r="AM268" t="s">
        <v>270</v>
      </c>
      <c r="AN268">
        <v>-101.135931</v>
      </c>
      <c r="AQ268" t="s">
        <v>129</v>
      </c>
      <c r="AR268">
        <v>90</v>
      </c>
      <c r="AS268">
        <v>7</v>
      </c>
      <c r="AT268">
        <v>192</v>
      </c>
      <c r="BB268" t="str">
        <f t="shared" si="38"/>
        <v>1200</v>
      </c>
      <c r="BC268">
        <v>1</v>
      </c>
      <c r="BD268" t="str">
        <f t="shared" si="34"/>
        <v xml:space="preserve">N745MB  </v>
      </c>
      <c r="BE268">
        <v>1</v>
      </c>
      <c r="BG268">
        <v>0</v>
      </c>
      <c r="BH268">
        <v>0</v>
      </c>
      <c r="BI268">
        <v>0</v>
      </c>
      <c r="BL268" t="s">
        <v>130</v>
      </c>
      <c r="BM268">
        <v>1</v>
      </c>
      <c r="BN268">
        <v>0</v>
      </c>
      <c r="BO268">
        <v>0</v>
      </c>
      <c r="BP268">
        <v>0</v>
      </c>
      <c r="BT268">
        <v>0</v>
      </c>
      <c r="BU268">
        <v>0</v>
      </c>
      <c r="CE268" t="str">
        <f>"20:20:37.560"</f>
        <v>20:20:37.560</v>
      </c>
      <c r="CF268">
        <v>560003733</v>
      </c>
      <c r="CS268">
        <v>0</v>
      </c>
      <c r="CT268">
        <v>2</v>
      </c>
      <c r="CU268">
        <v>0</v>
      </c>
      <c r="CV268">
        <v>2</v>
      </c>
      <c r="CW268">
        <v>0</v>
      </c>
      <c r="CX268">
        <v>2</v>
      </c>
      <c r="CY268">
        <v>7</v>
      </c>
      <c r="CZ268" t="s">
        <v>131</v>
      </c>
      <c r="DA268">
        <v>116</v>
      </c>
      <c r="DB268">
        <v>3</v>
      </c>
      <c r="DC268" t="s">
        <v>132</v>
      </c>
      <c r="DD268" t="s">
        <v>133</v>
      </c>
      <c r="DG268">
        <v>8238072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1</v>
      </c>
      <c r="DQ268">
        <v>0</v>
      </c>
      <c r="DR268">
        <v>0</v>
      </c>
      <c r="DS268">
        <v>0</v>
      </c>
    </row>
    <row r="269" spans="1:123" x14ac:dyDescent="0.25">
      <c r="A269" t="str">
        <f>"11/29/2023 20:20:38.961"</f>
        <v>11/29/2023 20:20:38.961</v>
      </c>
      <c r="C269" t="str">
        <f t="shared" si="36"/>
        <v>FFDF53C0</v>
      </c>
      <c r="D269" t="s">
        <v>135</v>
      </c>
      <c r="E269">
        <v>31</v>
      </c>
      <c r="H269">
        <v>285</v>
      </c>
      <c r="I269" t="s">
        <v>136</v>
      </c>
      <c r="J269" t="s">
        <v>137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"20:20:38.672"</f>
        <v>20:20:38.672</v>
      </c>
      <c r="T269" t="str">
        <f>"20:20:38.372"</f>
        <v>20:20:38.372</v>
      </c>
      <c r="U269" t="str">
        <f t="shared" si="37"/>
        <v>AA0632</v>
      </c>
      <c r="V269">
        <v>0</v>
      </c>
      <c r="W269">
        <v>0</v>
      </c>
      <c r="X269">
        <v>2</v>
      </c>
      <c r="Y269">
        <v>0</v>
      </c>
      <c r="AA269">
        <v>0</v>
      </c>
      <c r="AB269">
        <v>9</v>
      </c>
      <c r="AC269">
        <v>3</v>
      </c>
      <c r="AD269">
        <v>0</v>
      </c>
      <c r="AE269">
        <v>10</v>
      </c>
      <c r="AF269" t="s">
        <v>126</v>
      </c>
      <c r="AG269">
        <v>0</v>
      </c>
      <c r="AH269">
        <v>0</v>
      </c>
      <c r="AI269">
        <v>2</v>
      </c>
      <c r="AJ269">
        <v>0</v>
      </c>
      <c r="AK269" t="s">
        <v>271</v>
      </c>
      <c r="AL269">
        <v>31.960923999999999</v>
      </c>
      <c r="AM269" t="s">
        <v>272</v>
      </c>
      <c r="AN269">
        <v>-101.135352</v>
      </c>
      <c r="AQ269" t="s">
        <v>129</v>
      </c>
      <c r="AR269">
        <v>90</v>
      </c>
      <c r="AS269">
        <v>5</v>
      </c>
      <c r="AT269">
        <v>64</v>
      </c>
      <c r="BB269" t="str">
        <f t="shared" si="38"/>
        <v>1200</v>
      </c>
      <c r="BC269">
        <v>1</v>
      </c>
      <c r="BD269" t="str">
        <f t="shared" si="34"/>
        <v xml:space="preserve">N745MB  </v>
      </c>
      <c r="BE269">
        <v>1</v>
      </c>
      <c r="BG269">
        <v>0</v>
      </c>
      <c r="BH269">
        <v>0</v>
      </c>
      <c r="BI269">
        <v>0</v>
      </c>
      <c r="BL269" t="s">
        <v>130</v>
      </c>
      <c r="BM269">
        <v>1</v>
      </c>
      <c r="BN269">
        <v>0</v>
      </c>
      <c r="BO269">
        <v>0</v>
      </c>
      <c r="BP269">
        <v>0</v>
      </c>
      <c r="BT269">
        <v>0</v>
      </c>
      <c r="BU269">
        <v>0</v>
      </c>
      <c r="CE269" t="str">
        <f>"20:20:38.674"</f>
        <v>20:20:38.674</v>
      </c>
      <c r="CF269">
        <v>673925280</v>
      </c>
      <c r="CS269">
        <v>0</v>
      </c>
      <c r="CT269">
        <v>2</v>
      </c>
      <c r="CU269">
        <v>0</v>
      </c>
      <c r="CV269">
        <v>2</v>
      </c>
      <c r="CW269">
        <v>0</v>
      </c>
      <c r="CX269">
        <v>2</v>
      </c>
      <c r="CY269">
        <v>7</v>
      </c>
      <c r="CZ269" t="s">
        <v>131</v>
      </c>
      <c r="DA269">
        <v>116</v>
      </c>
      <c r="DB269">
        <v>3</v>
      </c>
      <c r="DC269" t="s">
        <v>132</v>
      </c>
      <c r="DD269" t="s">
        <v>133</v>
      </c>
      <c r="DG269">
        <v>8238713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1</v>
      </c>
      <c r="DQ269">
        <v>0</v>
      </c>
      <c r="DR269">
        <v>0</v>
      </c>
      <c r="DS269">
        <v>0</v>
      </c>
    </row>
    <row r="270" spans="1:123" x14ac:dyDescent="0.25">
      <c r="A270" t="str">
        <f>"11/29/2023 20:20:38.961"</f>
        <v>11/29/2023 20:20:38.961</v>
      </c>
      <c r="C270" t="str">
        <f t="shared" si="36"/>
        <v>FFDF53C0</v>
      </c>
      <c r="D270" t="s">
        <v>123</v>
      </c>
      <c r="E270">
        <v>14</v>
      </c>
      <c r="F270">
        <v>1014</v>
      </c>
      <c r="G270" t="s">
        <v>124</v>
      </c>
      <c r="J270" t="s">
        <v>125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"20:20:38.672"</f>
        <v>20:20:38.672</v>
      </c>
      <c r="T270" t="str">
        <f>"20:20:38.372"</f>
        <v>20:20:38.372</v>
      </c>
      <c r="U270" t="str">
        <f t="shared" si="37"/>
        <v>AA0632</v>
      </c>
      <c r="V270">
        <v>0</v>
      </c>
      <c r="W270">
        <v>0</v>
      </c>
      <c r="X270">
        <v>2</v>
      </c>
      <c r="Y270">
        <v>0</v>
      </c>
      <c r="AA270">
        <v>0</v>
      </c>
      <c r="AB270">
        <v>9</v>
      </c>
      <c r="AC270">
        <v>3</v>
      </c>
      <c r="AD270">
        <v>0</v>
      </c>
      <c r="AE270">
        <v>10</v>
      </c>
      <c r="AF270" t="s">
        <v>126</v>
      </c>
      <c r="AG270">
        <v>0</v>
      </c>
      <c r="AH270">
        <v>0</v>
      </c>
      <c r="AI270">
        <v>2</v>
      </c>
      <c r="AJ270">
        <v>0</v>
      </c>
      <c r="AK270" t="s">
        <v>271</v>
      </c>
      <c r="AL270">
        <v>31.960923999999999</v>
      </c>
      <c r="AM270" t="s">
        <v>272</v>
      </c>
      <c r="AN270">
        <v>-101.135352</v>
      </c>
      <c r="AQ270" t="s">
        <v>129</v>
      </c>
      <c r="AR270">
        <v>90</v>
      </c>
      <c r="AS270">
        <v>5</v>
      </c>
      <c r="AT270">
        <v>64</v>
      </c>
      <c r="BB270" t="str">
        <f t="shared" si="38"/>
        <v>1200</v>
      </c>
      <c r="BC270">
        <v>1</v>
      </c>
      <c r="BD270" t="str">
        <f t="shared" si="34"/>
        <v xml:space="preserve">N745MB  </v>
      </c>
      <c r="BE270">
        <v>1</v>
      </c>
      <c r="BG270">
        <v>0</v>
      </c>
      <c r="BH270">
        <v>0</v>
      </c>
      <c r="BI270">
        <v>0</v>
      </c>
      <c r="BL270" t="s">
        <v>130</v>
      </c>
      <c r="BM270">
        <v>1</v>
      </c>
      <c r="BN270">
        <v>0</v>
      </c>
      <c r="BO270">
        <v>0</v>
      </c>
      <c r="BP270">
        <v>0</v>
      </c>
      <c r="BT270">
        <v>0</v>
      </c>
      <c r="BU270">
        <v>0</v>
      </c>
      <c r="CE270" t="str">
        <f>"20:20:38.674"</f>
        <v>20:20:38.674</v>
      </c>
      <c r="CF270">
        <v>673925280</v>
      </c>
      <c r="CS270">
        <v>0</v>
      </c>
      <c r="CT270">
        <v>2</v>
      </c>
      <c r="CU270">
        <v>0</v>
      </c>
      <c r="CV270">
        <v>2</v>
      </c>
      <c r="CW270">
        <v>0</v>
      </c>
      <c r="CX270">
        <v>2</v>
      </c>
      <c r="CY270">
        <v>7</v>
      </c>
      <c r="CZ270" t="s">
        <v>131</v>
      </c>
      <c r="DA270">
        <v>116</v>
      </c>
      <c r="DB270">
        <v>3</v>
      </c>
      <c r="DC270" t="s">
        <v>132</v>
      </c>
      <c r="DD270" t="s">
        <v>133</v>
      </c>
      <c r="DG270">
        <v>8238713</v>
      </c>
      <c r="DI270">
        <v>0</v>
      </c>
      <c r="DJ270">
        <v>0</v>
      </c>
      <c r="DK270">
        <v>1</v>
      </c>
      <c r="DL270">
        <v>0</v>
      </c>
      <c r="DM270">
        <v>0</v>
      </c>
      <c r="DN270">
        <v>0</v>
      </c>
      <c r="DO270">
        <v>0</v>
      </c>
      <c r="DP270">
        <v>1</v>
      </c>
      <c r="DQ270">
        <v>0</v>
      </c>
      <c r="DR270">
        <v>0</v>
      </c>
      <c r="DS270">
        <v>0</v>
      </c>
    </row>
    <row r="271" spans="1:123" x14ac:dyDescent="0.25">
      <c r="A271" t="str">
        <f>"11/29/2023 20:20:38.961"</f>
        <v>11/29/2023 20:20:38.961</v>
      </c>
      <c r="C271" t="str">
        <f t="shared" si="36"/>
        <v>FFDF53C0</v>
      </c>
      <c r="D271" t="s">
        <v>138</v>
      </c>
      <c r="E271">
        <v>3</v>
      </c>
      <c r="H271">
        <v>160</v>
      </c>
      <c r="I271" t="s">
        <v>124</v>
      </c>
      <c r="J271" t="s">
        <v>139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"20:20:38.672"</f>
        <v>20:20:38.672</v>
      </c>
      <c r="T271" t="str">
        <f>"20:20:38.372"</f>
        <v>20:20:38.372</v>
      </c>
      <c r="U271" t="str">
        <f t="shared" si="37"/>
        <v>AA0632</v>
      </c>
      <c r="V271">
        <v>0</v>
      </c>
      <c r="W271">
        <v>0</v>
      </c>
      <c r="X271">
        <v>2</v>
      </c>
      <c r="Y271">
        <v>0</v>
      </c>
      <c r="AA271">
        <v>0</v>
      </c>
      <c r="AB271">
        <v>9</v>
      </c>
      <c r="AC271">
        <v>3</v>
      </c>
      <c r="AD271">
        <v>0</v>
      </c>
      <c r="AE271">
        <v>10</v>
      </c>
      <c r="AF271" t="s">
        <v>126</v>
      </c>
      <c r="AG271">
        <v>0</v>
      </c>
      <c r="AH271">
        <v>0</v>
      </c>
      <c r="AI271">
        <v>2</v>
      </c>
      <c r="AJ271">
        <v>0</v>
      </c>
      <c r="AK271" t="s">
        <v>271</v>
      </c>
      <c r="AL271">
        <v>31.960923999999999</v>
      </c>
      <c r="AM271" t="s">
        <v>272</v>
      </c>
      <c r="AN271">
        <v>-101.135352</v>
      </c>
      <c r="AQ271" t="s">
        <v>129</v>
      </c>
      <c r="AR271">
        <v>90</v>
      </c>
      <c r="AS271">
        <v>5</v>
      </c>
      <c r="AT271">
        <v>64</v>
      </c>
      <c r="BB271" t="str">
        <f t="shared" si="38"/>
        <v>1200</v>
      </c>
      <c r="BC271">
        <v>1</v>
      </c>
      <c r="BD271" t="str">
        <f t="shared" si="34"/>
        <v xml:space="preserve">N745MB  </v>
      </c>
      <c r="BE271">
        <v>1</v>
      </c>
      <c r="BG271">
        <v>0</v>
      </c>
      <c r="BH271">
        <v>0</v>
      </c>
      <c r="BI271">
        <v>0</v>
      </c>
      <c r="BL271" t="s">
        <v>130</v>
      </c>
      <c r="BM271">
        <v>1</v>
      </c>
      <c r="BN271">
        <v>0</v>
      </c>
      <c r="BO271">
        <v>0</v>
      </c>
      <c r="BP271">
        <v>0</v>
      </c>
      <c r="BT271">
        <v>0</v>
      </c>
      <c r="BU271">
        <v>0</v>
      </c>
      <c r="CE271" t="str">
        <f>"20:20:38.674"</f>
        <v>20:20:38.674</v>
      </c>
      <c r="CF271">
        <v>673925280</v>
      </c>
      <c r="CS271">
        <v>0</v>
      </c>
      <c r="CT271">
        <v>2</v>
      </c>
      <c r="CU271">
        <v>0</v>
      </c>
      <c r="CV271">
        <v>2</v>
      </c>
      <c r="CW271">
        <v>0</v>
      </c>
      <c r="CX271">
        <v>2</v>
      </c>
      <c r="CY271">
        <v>7</v>
      </c>
      <c r="CZ271" t="s">
        <v>131</v>
      </c>
      <c r="DA271">
        <v>116</v>
      </c>
      <c r="DB271">
        <v>3</v>
      </c>
      <c r="DC271" t="s">
        <v>132</v>
      </c>
      <c r="DD271" t="s">
        <v>133</v>
      </c>
      <c r="DG271">
        <v>8238713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1</v>
      </c>
      <c r="DQ271">
        <v>0</v>
      </c>
      <c r="DR271">
        <v>0</v>
      </c>
      <c r="DS271">
        <v>0</v>
      </c>
    </row>
    <row r="272" spans="1:123" x14ac:dyDescent="0.25">
      <c r="A272" t="str">
        <f>"11/29/2023 20:20:38.961"</f>
        <v>11/29/2023 20:20:38.961</v>
      </c>
      <c r="C272" t="str">
        <f t="shared" si="36"/>
        <v>FFDF53C0</v>
      </c>
      <c r="D272" t="s">
        <v>123</v>
      </c>
      <c r="E272">
        <v>1</v>
      </c>
      <c r="F272">
        <v>1001</v>
      </c>
      <c r="G272" t="s">
        <v>134</v>
      </c>
      <c r="J272" t="s">
        <v>125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"20:20:38.672"</f>
        <v>20:20:38.672</v>
      </c>
      <c r="T272" t="str">
        <f>"20:20:38.372"</f>
        <v>20:20:38.372</v>
      </c>
      <c r="U272" t="str">
        <f t="shared" si="37"/>
        <v>AA0632</v>
      </c>
      <c r="V272">
        <v>0</v>
      </c>
      <c r="W272">
        <v>0</v>
      </c>
      <c r="X272">
        <v>2</v>
      </c>
      <c r="Y272">
        <v>0</v>
      </c>
      <c r="AA272">
        <v>0</v>
      </c>
      <c r="AB272">
        <v>9</v>
      </c>
      <c r="AC272">
        <v>3</v>
      </c>
      <c r="AD272">
        <v>0</v>
      </c>
      <c r="AE272">
        <v>10</v>
      </c>
      <c r="AF272" t="s">
        <v>126</v>
      </c>
      <c r="AG272">
        <v>0</v>
      </c>
      <c r="AH272">
        <v>0</v>
      </c>
      <c r="AI272">
        <v>2</v>
      </c>
      <c r="AJ272">
        <v>0</v>
      </c>
      <c r="AK272" t="s">
        <v>271</v>
      </c>
      <c r="AL272">
        <v>31.960923999999999</v>
      </c>
      <c r="AM272" t="s">
        <v>272</v>
      </c>
      <c r="AN272">
        <v>-101.135352</v>
      </c>
      <c r="AQ272" t="s">
        <v>129</v>
      </c>
      <c r="AR272">
        <v>90</v>
      </c>
      <c r="AS272">
        <v>5</v>
      </c>
      <c r="AT272">
        <v>64</v>
      </c>
      <c r="BB272" t="str">
        <f t="shared" si="38"/>
        <v>1200</v>
      </c>
      <c r="BC272">
        <v>1</v>
      </c>
      <c r="BD272" t="str">
        <f t="shared" si="34"/>
        <v xml:space="preserve">N745MB  </v>
      </c>
      <c r="BE272">
        <v>1</v>
      </c>
      <c r="BG272">
        <v>0</v>
      </c>
      <c r="BH272">
        <v>0</v>
      </c>
      <c r="BI272">
        <v>0</v>
      </c>
      <c r="BL272" t="s">
        <v>130</v>
      </c>
      <c r="BM272">
        <v>1</v>
      </c>
      <c r="BN272">
        <v>0</v>
      </c>
      <c r="BO272">
        <v>0</v>
      </c>
      <c r="BP272">
        <v>0</v>
      </c>
      <c r="BT272">
        <v>0</v>
      </c>
      <c r="BU272">
        <v>0</v>
      </c>
      <c r="CE272" t="str">
        <f>"20:20:38.674"</f>
        <v>20:20:38.674</v>
      </c>
      <c r="CF272">
        <v>673925280</v>
      </c>
      <c r="CS272">
        <v>0</v>
      </c>
      <c r="CT272">
        <v>2</v>
      </c>
      <c r="CU272">
        <v>0</v>
      </c>
      <c r="CV272">
        <v>2</v>
      </c>
      <c r="CW272">
        <v>0</v>
      </c>
      <c r="CX272">
        <v>2</v>
      </c>
      <c r="CY272">
        <v>7</v>
      </c>
      <c r="CZ272" t="s">
        <v>131</v>
      </c>
      <c r="DA272">
        <v>116</v>
      </c>
      <c r="DB272">
        <v>3</v>
      </c>
      <c r="DC272" t="s">
        <v>132</v>
      </c>
      <c r="DD272" t="s">
        <v>133</v>
      </c>
      <c r="DG272">
        <v>8238713</v>
      </c>
      <c r="DI272">
        <v>0</v>
      </c>
      <c r="DJ272">
        <v>0</v>
      </c>
      <c r="DK272">
        <v>1</v>
      </c>
      <c r="DL272">
        <v>0</v>
      </c>
      <c r="DM272">
        <v>0</v>
      </c>
      <c r="DN272">
        <v>0</v>
      </c>
      <c r="DO272">
        <v>0</v>
      </c>
      <c r="DP272">
        <v>1</v>
      </c>
      <c r="DQ272">
        <v>0</v>
      </c>
      <c r="DR272">
        <v>0</v>
      </c>
      <c r="DS272">
        <v>0</v>
      </c>
    </row>
    <row r="273" spans="1:123" x14ac:dyDescent="0.25">
      <c r="A273" t="str">
        <f>"11/29/2023 20:20:40.117"</f>
        <v>11/29/2023 20:20:40.117</v>
      </c>
      <c r="C273" t="str">
        <f t="shared" si="36"/>
        <v>FFDF53C0</v>
      </c>
      <c r="D273" t="s">
        <v>123</v>
      </c>
      <c r="E273">
        <v>14</v>
      </c>
      <c r="F273">
        <v>1014</v>
      </c>
      <c r="G273" t="s">
        <v>124</v>
      </c>
      <c r="J273" t="s">
        <v>125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"20:20:39.789"</f>
        <v>20:20:39.789</v>
      </c>
      <c r="T273" t="str">
        <f>"20:20:39.389"</f>
        <v>20:20:39.389</v>
      </c>
      <c r="U273" t="str">
        <f t="shared" si="37"/>
        <v>AA0632</v>
      </c>
      <c r="V273">
        <v>0</v>
      </c>
      <c r="W273">
        <v>0</v>
      </c>
      <c r="X273">
        <v>2</v>
      </c>
      <c r="Y273">
        <v>0</v>
      </c>
      <c r="AA273">
        <v>0</v>
      </c>
      <c r="AB273">
        <v>9</v>
      </c>
      <c r="AC273">
        <v>3</v>
      </c>
      <c r="AD273">
        <v>0</v>
      </c>
      <c r="AE273">
        <v>10</v>
      </c>
      <c r="AF273" t="s">
        <v>126</v>
      </c>
      <c r="AG273">
        <v>0</v>
      </c>
      <c r="AH273">
        <v>0</v>
      </c>
      <c r="AI273">
        <v>2</v>
      </c>
      <c r="AJ273">
        <v>0</v>
      </c>
      <c r="AK273" t="s">
        <v>273</v>
      </c>
      <c r="AL273">
        <v>31.960944999999999</v>
      </c>
      <c r="AM273" t="s">
        <v>274</v>
      </c>
      <c r="AN273">
        <v>-101.134815</v>
      </c>
      <c r="AQ273" t="s">
        <v>129</v>
      </c>
      <c r="AR273">
        <v>90</v>
      </c>
      <c r="AS273">
        <v>3</v>
      </c>
      <c r="AT273">
        <v>64</v>
      </c>
      <c r="BB273" t="str">
        <f t="shared" si="38"/>
        <v>1200</v>
      </c>
      <c r="BC273">
        <v>1</v>
      </c>
      <c r="BD273" t="str">
        <f t="shared" si="34"/>
        <v xml:space="preserve">N745MB  </v>
      </c>
      <c r="BE273">
        <v>1</v>
      </c>
      <c r="BG273">
        <v>0</v>
      </c>
      <c r="BH273">
        <v>0</v>
      </c>
      <c r="BI273">
        <v>0</v>
      </c>
      <c r="BL273" t="s">
        <v>130</v>
      </c>
      <c r="BM273">
        <v>1</v>
      </c>
      <c r="BN273">
        <v>0</v>
      </c>
      <c r="BO273">
        <v>0</v>
      </c>
      <c r="BP273">
        <v>0</v>
      </c>
      <c r="BT273">
        <v>0</v>
      </c>
      <c r="BU273">
        <v>0</v>
      </c>
      <c r="CE273" t="str">
        <f>"20:20:39.796"</f>
        <v>20:20:39.796</v>
      </c>
      <c r="CF273">
        <v>795849498</v>
      </c>
      <c r="CS273">
        <v>0</v>
      </c>
      <c r="CT273">
        <v>2</v>
      </c>
      <c r="CU273">
        <v>0</v>
      </c>
      <c r="CV273">
        <v>2</v>
      </c>
      <c r="CW273">
        <v>0</v>
      </c>
      <c r="CX273">
        <v>2</v>
      </c>
      <c r="CY273">
        <v>7</v>
      </c>
      <c r="CZ273" t="s">
        <v>131</v>
      </c>
      <c r="DA273">
        <v>116</v>
      </c>
      <c r="DB273">
        <v>3</v>
      </c>
      <c r="DC273" t="s">
        <v>132</v>
      </c>
      <c r="DD273" t="s">
        <v>133</v>
      </c>
      <c r="DG273">
        <v>8239387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1</v>
      </c>
      <c r="DQ273">
        <v>0</v>
      </c>
      <c r="DR273">
        <v>0</v>
      </c>
      <c r="DS273">
        <v>0</v>
      </c>
    </row>
    <row r="274" spans="1:123" x14ac:dyDescent="0.25">
      <c r="A274" t="str">
        <f>"11/29/2023 20:20:40.117"</f>
        <v>11/29/2023 20:20:40.117</v>
      </c>
      <c r="C274" t="str">
        <f t="shared" si="36"/>
        <v>FFDF53C0</v>
      </c>
      <c r="D274" t="s">
        <v>138</v>
      </c>
      <c r="E274">
        <v>3</v>
      </c>
      <c r="H274">
        <v>160</v>
      </c>
      <c r="I274" t="s">
        <v>124</v>
      </c>
      <c r="J274" t="s">
        <v>139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"20:20:39.789"</f>
        <v>20:20:39.789</v>
      </c>
      <c r="T274" t="str">
        <f>"20:20:39.389"</f>
        <v>20:20:39.389</v>
      </c>
      <c r="U274" t="str">
        <f t="shared" si="37"/>
        <v>AA0632</v>
      </c>
      <c r="V274">
        <v>0</v>
      </c>
      <c r="W274">
        <v>0</v>
      </c>
      <c r="X274">
        <v>2</v>
      </c>
      <c r="Y274">
        <v>0</v>
      </c>
      <c r="AA274">
        <v>0</v>
      </c>
      <c r="AB274">
        <v>9</v>
      </c>
      <c r="AC274">
        <v>3</v>
      </c>
      <c r="AD274">
        <v>0</v>
      </c>
      <c r="AE274">
        <v>10</v>
      </c>
      <c r="AF274" t="s">
        <v>126</v>
      </c>
      <c r="AG274">
        <v>0</v>
      </c>
      <c r="AH274">
        <v>0</v>
      </c>
      <c r="AI274">
        <v>2</v>
      </c>
      <c r="AJ274">
        <v>0</v>
      </c>
      <c r="AK274" t="s">
        <v>273</v>
      </c>
      <c r="AL274">
        <v>31.960944999999999</v>
      </c>
      <c r="AM274" t="s">
        <v>274</v>
      </c>
      <c r="AN274">
        <v>-101.134815</v>
      </c>
      <c r="AQ274" t="s">
        <v>129</v>
      </c>
      <c r="AR274">
        <v>90</v>
      </c>
      <c r="AS274">
        <v>3</v>
      </c>
      <c r="AT274">
        <v>64</v>
      </c>
      <c r="BB274" t="str">
        <f t="shared" si="38"/>
        <v>1200</v>
      </c>
      <c r="BC274">
        <v>1</v>
      </c>
      <c r="BD274" t="str">
        <f t="shared" ref="BD274:BD337" si="39">"N745MB  "</f>
        <v xml:space="preserve">N745MB  </v>
      </c>
      <c r="BE274">
        <v>1</v>
      </c>
      <c r="BG274">
        <v>0</v>
      </c>
      <c r="BH274">
        <v>0</v>
      </c>
      <c r="BI274">
        <v>0</v>
      </c>
      <c r="BL274" t="s">
        <v>130</v>
      </c>
      <c r="BM274">
        <v>1</v>
      </c>
      <c r="BN274">
        <v>0</v>
      </c>
      <c r="BO274">
        <v>0</v>
      </c>
      <c r="BP274">
        <v>0</v>
      </c>
      <c r="BT274">
        <v>0</v>
      </c>
      <c r="BU274">
        <v>0</v>
      </c>
      <c r="CE274" t="str">
        <f>"20:20:39.796"</f>
        <v>20:20:39.796</v>
      </c>
      <c r="CF274">
        <v>795849498</v>
      </c>
      <c r="CS274">
        <v>0</v>
      </c>
      <c r="CT274">
        <v>2</v>
      </c>
      <c r="CU274">
        <v>0</v>
      </c>
      <c r="CV274">
        <v>2</v>
      </c>
      <c r="CW274">
        <v>0</v>
      </c>
      <c r="CX274">
        <v>2</v>
      </c>
      <c r="CY274">
        <v>7</v>
      </c>
      <c r="CZ274" t="s">
        <v>131</v>
      </c>
      <c r="DA274">
        <v>116</v>
      </c>
      <c r="DB274">
        <v>3</v>
      </c>
      <c r="DC274" t="s">
        <v>132</v>
      </c>
      <c r="DD274" t="s">
        <v>133</v>
      </c>
      <c r="DG274">
        <v>8239387</v>
      </c>
      <c r="DI274">
        <v>0</v>
      </c>
      <c r="DJ274">
        <v>0</v>
      </c>
      <c r="DK274">
        <v>1</v>
      </c>
      <c r="DL274">
        <v>0</v>
      </c>
      <c r="DM274">
        <v>0</v>
      </c>
      <c r="DN274">
        <v>0</v>
      </c>
      <c r="DO274">
        <v>0</v>
      </c>
      <c r="DP274">
        <v>1</v>
      </c>
      <c r="DQ274">
        <v>0</v>
      </c>
      <c r="DR274">
        <v>0</v>
      </c>
      <c r="DS274">
        <v>0</v>
      </c>
    </row>
    <row r="275" spans="1:123" x14ac:dyDescent="0.25">
      <c r="A275" t="str">
        <f>"11/29/2023 20:20:40.133"</f>
        <v>11/29/2023 20:20:40.133</v>
      </c>
      <c r="C275" t="str">
        <f t="shared" si="36"/>
        <v>FFDF53C0</v>
      </c>
      <c r="D275" t="s">
        <v>135</v>
      </c>
      <c r="E275">
        <v>31</v>
      </c>
      <c r="H275">
        <v>285</v>
      </c>
      <c r="I275" t="s">
        <v>136</v>
      </c>
      <c r="J275" t="s">
        <v>137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"20:20:39.789"</f>
        <v>20:20:39.789</v>
      </c>
      <c r="T275" t="str">
        <f>"20:20:39.389"</f>
        <v>20:20:39.389</v>
      </c>
      <c r="U275" t="str">
        <f t="shared" si="37"/>
        <v>AA0632</v>
      </c>
      <c r="V275">
        <v>0</v>
      </c>
      <c r="W275">
        <v>0</v>
      </c>
      <c r="X275">
        <v>2</v>
      </c>
      <c r="Y275">
        <v>0</v>
      </c>
      <c r="AA275">
        <v>0</v>
      </c>
      <c r="AB275">
        <v>9</v>
      </c>
      <c r="AC275">
        <v>3</v>
      </c>
      <c r="AD275">
        <v>0</v>
      </c>
      <c r="AE275">
        <v>10</v>
      </c>
      <c r="AF275" t="s">
        <v>126</v>
      </c>
      <c r="AG275">
        <v>0</v>
      </c>
      <c r="AH275">
        <v>0</v>
      </c>
      <c r="AI275">
        <v>2</v>
      </c>
      <c r="AJ275">
        <v>0</v>
      </c>
      <c r="AK275" t="s">
        <v>273</v>
      </c>
      <c r="AL275">
        <v>31.960944999999999</v>
      </c>
      <c r="AM275" t="s">
        <v>274</v>
      </c>
      <c r="AN275">
        <v>-101.134815</v>
      </c>
      <c r="AQ275" t="s">
        <v>129</v>
      </c>
      <c r="AR275">
        <v>90</v>
      </c>
      <c r="AS275">
        <v>3</v>
      </c>
      <c r="AT275">
        <v>64</v>
      </c>
      <c r="BB275" t="str">
        <f t="shared" si="38"/>
        <v>1200</v>
      </c>
      <c r="BC275">
        <v>1</v>
      </c>
      <c r="BD275" t="str">
        <f t="shared" si="39"/>
        <v xml:space="preserve">N745MB  </v>
      </c>
      <c r="BE275">
        <v>1</v>
      </c>
      <c r="BG275">
        <v>0</v>
      </c>
      <c r="BH275">
        <v>0</v>
      </c>
      <c r="BI275">
        <v>0</v>
      </c>
      <c r="BL275" t="s">
        <v>130</v>
      </c>
      <c r="BM275">
        <v>1</v>
      </c>
      <c r="BN275">
        <v>0</v>
      </c>
      <c r="BO275">
        <v>0</v>
      </c>
      <c r="BP275">
        <v>0</v>
      </c>
      <c r="BT275">
        <v>0</v>
      </c>
      <c r="BU275">
        <v>0</v>
      </c>
      <c r="CE275" t="str">
        <f>"20:20:39.796"</f>
        <v>20:20:39.796</v>
      </c>
      <c r="CF275">
        <v>795849498</v>
      </c>
      <c r="CS275">
        <v>0</v>
      </c>
      <c r="CT275">
        <v>2</v>
      </c>
      <c r="CU275">
        <v>0</v>
      </c>
      <c r="CV275">
        <v>2</v>
      </c>
      <c r="CW275">
        <v>0</v>
      </c>
      <c r="CX275">
        <v>2</v>
      </c>
      <c r="CY275">
        <v>7</v>
      </c>
      <c r="CZ275" t="s">
        <v>131</v>
      </c>
      <c r="DA275">
        <v>116</v>
      </c>
      <c r="DB275">
        <v>3</v>
      </c>
      <c r="DC275" t="s">
        <v>132</v>
      </c>
      <c r="DD275" t="s">
        <v>133</v>
      </c>
      <c r="DG275">
        <v>8239387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1</v>
      </c>
      <c r="DQ275">
        <v>0</v>
      </c>
      <c r="DR275">
        <v>0</v>
      </c>
      <c r="DS275">
        <v>0</v>
      </c>
    </row>
    <row r="276" spans="1:123" x14ac:dyDescent="0.25">
      <c r="A276" t="str">
        <f>"11/29/2023 20:20:40.133"</f>
        <v>11/29/2023 20:20:40.133</v>
      </c>
      <c r="C276" t="str">
        <f t="shared" si="36"/>
        <v>FFDF53C0</v>
      </c>
      <c r="D276" t="s">
        <v>123</v>
      </c>
      <c r="E276">
        <v>1</v>
      </c>
      <c r="F276">
        <v>1001</v>
      </c>
      <c r="G276" t="s">
        <v>134</v>
      </c>
      <c r="J276" t="s">
        <v>125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"20:20:39.789"</f>
        <v>20:20:39.789</v>
      </c>
      <c r="T276" t="str">
        <f>"20:20:39.389"</f>
        <v>20:20:39.389</v>
      </c>
      <c r="U276" t="str">
        <f t="shared" si="37"/>
        <v>AA0632</v>
      </c>
      <c r="V276">
        <v>0</v>
      </c>
      <c r="W276">
        <v>0</v>
      </c>
      <c r="X276">
        <v>2</v>
      </c>
      <c r="Y276">
        <v>0</v>
      </c>
      <c r="AA276">
        <v>0</v>
      </c>
      <c r="AB276">
        <v>9</v>
      </c>
      <c r="AC276">
        <v>3</v>
      </c>
      <c r="AD276">
        <v>0</v>
      </c>
      <c r="AE276">
        <v>10</v>
      </c>
      <c r="AF276" t="s">
        <v>126</v>
      </c>
      <c r="AG276">
        <v>0</v>
      </c>
      <c r="AH276">
        <v>0</v>
      </c>
      <c r="AI276">
        <v>2</v>
      </c>
      <c r="AJ276">
        <v>0</v>
      </c>
      <c r="AK276" t="s">
        <v>273</v>
      </c>
      <c r="AL276">
        <v>31.960944999999999</v>
      </c>
      <c r="AM276" t="s">
        <v>274</v>
      </c>
      <c r="AN276">
        <v>-101.134815</v>
      </c>
      <c r="AQ276" t="s">
        <v>129</v>
      </c>
      <c r="AR276">
        <v>90</v>
      </c>
      <c r="AS276">
        <v>3</v>
      </c>
      <c r="AT276">
        <v>64</v>
      </c>
      <c r="BB276" t="str">
        <f t="shared" si="38"/>
        <v>1200</v>
      </c>
      <c r="BC276">
        <v>1</v>
      </c>
      <c r="BD276" t="str">
        <f t="shared" si="39"/>
        <v xml:space="preserve">N745MB  </v>
      </c>
      <c r="BE276">
        <v>1</v>
      </c>
      <c r="BG276">
        <v>0</v>
      </c>
      <c r="BH276">
        <v>0</v>
      </c>
      <c r="BI276">
        <v>0</v>
      </c>
      <c r="BL276" t="s">
        <v>130</v>
      </c>
      <c r="BM276">
        <v>1</v>
      </c>
      <c r="BN276">
        <v>0</v>
      </c>
      <c r="BO276">
        <v>0</v>
      </c>
      <c r="BP276">
        <v>0</v>
      </c>
      <c r="BT276">
        <v>0</v>
      </c>
      <c r="BU276">
        <v>0</v>
      </c>
      <c r="CE276" t="str">
        <f>"20:20:39.796"</f>
        <v>20:20:39.796</v>
      </c>
      <c r="CF276">
        <v>795849498</v>
      </c>
      <c r="CS276">
        <v>0</v>
      </c>
      <c r="CT276">
        <v>2</v>
      </c>
      <c r="CU276">
        <v>0</v>
      </c>
      <c r="CV276">
        <v>2</v>
      </c>
      <c r="CW276">
        <v>0</v>
      </c>
      <c r="CX276">
        <v>2</v>
      </c>
      <c r="CY276">
        <v>7</v>
      </c>
      <c r="CZ276" t="s">
        <v>131</v>
      </c>
      <c r="DA276">
        <v>116</v>
      </c>
      <c r="DB276">
        <v>3</v>
      </c>
      <c r="DC276" t="s">
        <v>132</v>
      </c>
      <c r="DD276" t="s">
        <v>133</v>
      </c>
      <c r="DG276">
        <v>8239387</v>
      </c>
      <c r="DI276">
        <v>0</v>
      </c>
      <c r="DJ276">
        <v>0</v>
      </c>
      <c r="DK276">
        <v>1</v>
      </c>
      <c r="DL276">
        <v>0</v>
      </c>
      <c r="DM276">
        <v>0</v>
      </c>
      <c r="DN276">
        <v>0</v>
      </c>
      <c r="DO276">
        <v>0</v>
      </c>
      <c r="DP276">
        <v>1</v>
      </c>
      <c r="DQ276">
        <v>0</v>
      </c>
      <c r="DR276">
        <v>0</v>
      </c>
      <c r="DS276">
        <v>0</v>
      </c>
    </row>
    <row r="277" spans="1:123" x14ac:dyDescent="0.25">
      <c r="A277" t="str">
        <f>"11/29/2023 20:20:41.320"</f>
        <v>11/29/2023 20:20:41.320</v>
      </c>
      <c r="C277" t="str">
        <f t="shared" si="36"/>
        <v>FFDF53C0</v>
      </c>
      <c r="D277" t="s">
        <v>138</v>
      </c>
      <c r="E277">
        <v>3</v>
      </c>
      <c r="H277">
        <v>160</v>
      </c>
      <c r="I277" t="s">
        <v>124</v>
      </c>
      <c r="J277" t="s">
        <v>139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"20:20:40.898"</f>
        <v>20:20:40.898</v>
      </c>
      <c r="T277" t="str">
        <f>"20:20:40.598"</f>
        <v>20:20:40.598</v>
      </c>
      <c r="U277" t="str">
        <f t="shared" si="37"/>
        <v>AA0632</v>
      </c>
      <c r="V277">
        <v>0</v>
      </c>
      <c r="W277">
        <v>0</v>
      </c>
      <c r="X277">
        <v>2</v>
      </c>
      <c r="Y277">
        <v>0</v>
      </c>
      <c r="AA277">
        <v>0</v>
      </c>
      <c r="AB277">
        <v>9</v>
      </c>
      <c r="AC277">
        <v>3</v>
      </c>
      <c r="AD277">
        <v>0</v>
      </c>
      <c r="AE277">
        <v>10</v>
      </c>
      <c r="AF277" t="s">
        <v>126</v>
      </c>
      <c r="AG277">
        <v>0</v>
      </c>
      <c r="AH277">
        <v>0</v>
      </c>
      <c r="AI277">
        <v>2</v>
      </c>
      <c r="AJ277">
        <v>0</v>
      </c>
      <c r="AK277" t="s">
        <v>273</v>
      </c>
      <c r="AL277">
        <v>31.960944999999999</v>
      </c>
      <c r="AM277" t="s">
        <v>275</v>
      </c>
      <c r="AN277">
        <v>-101.13425700000001</v>
      </c>
      <c r="AQ277" t="s">
        <v>129</v>
      </c>
      <c r="AR277">
        <v>90</v>
      </c>
      <c r="AS277">
        <v>1</v>
      </c>
      <c r="AT277">
        <v>64</v>
      </c>
      <c r="BB277" t="str">
        <f t="shared" si="38"/>
        <v>1200</v>
      </c>
      <c r="BC277">
        <v>1</v>
      </c>
      <c r="BD277" t="str">
        <f t="shared" si="39"/>
        <v xml:space="preserve">N745MB  </v>
      </c>
      <c r="BE277">
        <v>1</v>
      </c>
      <c r="BG277">
        <v>0</v>
      </c>
      <c r="BH277">
        <v>0</v>
      </c>
      <c r="BI277">
        <v>0</v>
      </c>
      <c r="BL277" t="s">
        <v>130</v>
      </c>
      <c r="BM277">
        <v>1</v>
      </c>
      <c r="BN277">
        <v>0</v>
      </c>
      <c r="BO277">
        <v>0</v>
      </c>
      <c r="BP277">
        <v>0</v>
      </c>
      <c r="BT277">
        <v>0</v>
      </c>
      <c r="BU277">
        <v>0</v>
      </c>
      <c r="CE277" t="str">
        <f>"20:20:40.906"</f>
        <v>20:20:40.906</v>
      </c>
      <c r="CF277">
        <v>905770638</v>
      </c>
      <c r="CS277">
        <v>0</v>
      </c>
      <c r="CT277">
        <v>2</v>
      </c>
      <c r="CU277">
        <v>0</v>
      </c>
      <c r="CV277">
        <v>2</v>
      </c>
      <c r="CW277">
        <v>0</v>
      </c>
      <c r="CX277">
        <v>2</v>
      </c>
      <c r="CY277">
        <v>7</v>
      </c>
      <c r="CZ277" t="s">
        <v>131</v>
      </c>
      <c r="DA277">
        <v>116</v>
      </c>
      <c r="DB277">
        <v>3</v>
      </c>
      <c r="DC277" t="s">
        <v>132</v>
      </c>
      <c r="DD277" t="s">
        <v>133</v>
      </c>
      <c r="DG277">
        <v>8239977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1</v>
      </c>
      <c r="DQ277">
        <v>0</v>
      </c>
      <c r="DR277">
        <v>0</v>
      </c>
      <c r="DS277">
        <v>0</v>
      </c>
    </row>
    <row r="278" spans="1:123" x14ac:dyDescent="0.25">
      <c r="A278" t="str">
        <f>"11/29/2023 20:20:41.320"</f>
        <v>11/29/2023 20:20:41.320</v>
      </c>
      <c r="C278" t="str">
        <f t="shared" si="36"/>
        <v>FFDF53C0</v>
      </c>
      <c r="D278" t="s">
        <v>135</v>
      </c>
      <c r="E278">
        <v>31</v>
      </c>
      <c r="H278">
        <v>285</v>
      </c>
      <c r="I278" t="s">
        <v>136</v>
      </c>
      <c r="J278" t="s">
        <v>137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"20:20:40.898"</f>
        <v>20:20:40.898</v>
      </c>
      <c r="T278" t="str">
        <f>"20:20:40.598"</f>
        <v>20:20:40.598</v>
      </c>
      <c r="U278" t="str">
        <f t="shared" si="37"/>
        <v>AA0632</v>
      </c>
      <c r="V278">
        <v>0</v>
      </c>
      <c r="W278">
        <v>0</v>
      </c>
      <c r="X278">
        <v>2</v>
      </c>
      <c r="Y278">
        <v>0</v>
      </c>
      <c r="AA278">
        <v>0</v>
      </c>
      <c r="AB278">
        <v>9</v>
      </c>
      <c r="AC278">
        <v>3</v>
      </c>
      <c r="AD278">
        <v>0</v>
      </c>
      <c r="AE278">
        <v>10</v>
      </c>
      <c r="AF278" t="s">
        <v>126</v>
      </c>
      <c r="AG278">
        <v>0</v>
      </c>
      <c r="AH278">
        <v>0</v>
      </c>
      <c r="AI278">
        <v>2</v>
      </c>
      <c r="AJ278">
        <v>0</v>
      </c>
      <c r="AK278" t="s">
        <v>273</v>
      </c>
      <c r="AL278">
        <v>31.960944999999999</v>
      </c>
      <c r="AM278" t="s">
        <v>275</v>
      </c>
      <c r="AN278">
        <v>-101.13425700000001</v>
      </c>
      <c r="AQ278" t="s">
        <v>129</v>
      </c>
      <c r="AR278">
        <v>90</v>
      </c>
      <c r="AS278">
        <v>1</v>
      </c>
      <c r="AT278">
        <v>64</v>
      </c>
      <c r="BB278" t="str">
        <f t="shared" si="38"/>
        <v>1200</v>
      </c>
      <c r="BC278">
        <v>1</v>
      </c>
      <c r="BD278" t="str">
        <f t="shared" si="39"/>
        <v xml:space="preserve">N745MB  </v>
      </c>
      <c r="BE278">
        <v>1</v>
      </c>
      <c r="BG278">
        <v>0</v>
      </c>
      <c r="BH278">
        <v>0</v>
      </c>
      <c r="BI278">
        <v>0</v>
      </c>
      <c r="BL278" t="s">
        <v>130</v>
      </c>
      <c r="BM278">
        <v>1</v>
      </c>
      <c r="BN278">
        <v>0</v>
      </c>
      <c r="BO278">
        <v>0</v>
      </c>
      <c r="BP278">
        <v>0</v>
      </c>
      <c r="BT278">
        <v>0</v>
      </c>
      <c r="BU278">
        <v>0</v>
      </c>
      <c r="CE278" t="str">
        <f>"20:20:40.906"</f>
        <v>20:20:40.906</v>
      </c>
      <c r="CF278">
        <v>905770638</v>
      </c>
      <c r="CS278">
        <v>0</v>
      </c>
      <c r="CT278">
        <v>2</v>
      </c>
      <c r="CU278">
        <v>0</v>
      </c>
      <c r="CV278">
        <v>2</v>
      </c>
      <c r="CW278">
        <v>0</v>
      </c>
      <c r="CX278">
        <v>2</v>
      </c>
      <c r="CY278">
        <v>7</v>
      </c>
      <c r="CZ278" t="s">
        <v>131</v>
      </c>
      <c r="DA278">
        <v>116</v>
      </c>
      <c r="DB278">
        <v>3</v>
      </c>
      <c r="DC278" t="s">
        <v>132</v>
      </c>
      <c r="DD278" t="s">
        <v>133</v>
      </c>
      <c r="DG278">
        <v>8239977</v>
      </c>
      <c r="DI278">
        <v>0</v>
      </c>
      <c r="DJ278">
        <v>0</v>
      </c>
      <c r="DK278">
        <v>1</v>
      </c>
      <c r="DL278">
        <v>0</v>
      </c>
      <c r="DM278">
        <v>0</v>
      </c>
      <c r="DN278">
        <v>0</v>
      </c>
      <c r="DO278">
        <v>0</v>
      </c>
      <c r="DP278">
        <v>1</v>
      </c>
      <c r="DQ278">
        <v>0</v>
      </c>
      <c r="DR278">
        <v>0</v>
      </c>
      <c r="DS278">
        <v>0</v>
      </c>
    </row>
    <row r="279" spans="1:123" x14ac:dyDescent="0.25">
      <c r="A279" t="str">
        <f>"11/29/2023 20:20:41.351"</f>
        <v>11/29/2023 20:20:41.351</v>
      </c>
      <c r="C279" t="str">
        <f t="shared" si="36"/>
        <v>FFDF53C0</v>
      </c>
      <c r="D279" t="s">
        <v>123</v>
      </c>
      <c r="E279">
        <v>1</v>
      </c>
      <c r="F279">
        <v>1001</v>
      </c>
      <c r="G279" t="s">
        <v>134</v>
      </c>
      <c r="J279" t="s">
        <v>125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"20:20:40.898"</f>
        <v>20:20:40.898</v>
      </c>
      <c r="T279" t="str">
        <f>"20:20:40.598"</f>
        <v>20:20:40.598</v>
      </c>
      <c r="U279" t="str">
        <f t="shared" si="37"/>
        <v>AA0632</v>
      </c>
      <c r="V279">
        <v>0</v>
      </c>
      <c r="W279">
        <v>0</v>
      </c>
      <c r="X279">
        <v>2</v>
      </c>
      <c r="Y279">
        <v>0</v>
      </c>
      <c r="AA279">
        <v>0</v>
      </c>
      <c r="AB279">
        <v>9</v>
      </c>
      <c r="AC279">
        <v>3</v>
      </c>
      <c r="AD279">
        <v>0</v>
      </c>
      <c r="AE279">
        <v>10</v>
      </c>
      <c r="AF279" t="s">
        <v>126</v>
      </c>
      <c r="AG279">
        <v>0</v>
      </c>
      <c r="AH279">
        <v>0</v>
      </c>
      <c r="AI279">
        <v>2</v>
      </c>
      <c r="AJ279">
        <v>0</v>
      </c>
      <c r="AK279" t="s">
        <v>273</v>
      </c>
      <c r="AL279">
        <v>31.960944999999999</v>
      </c>
      <c r="AM279" t="s">
        <v>275</v>
      </c>
      <c r="AN279">
        <v>-101.13425700000001</v>
      </c>
      <c r="AQ279" t="s">
        <v>129</v>
      </c>
      <c r="AR279">
        <v>90</v>
      </c>
      <c r="AS279">
        <v>1</v>
      </c>
      <c r="AT279">
        <v>64</v>
      </c>
      <c r="BB279" t="str">
        <f t="shared" si="38"/>
        <v>1200</v>
      </c>
      <c r="BC279">
        <v>1</v>
      </c>
      <c r="BD279" t="str">
        <f t="shared" si="39"/>
        <v xml:space="preserve">N745MB  </v>
      </c>
      <c r="BE279">
        <v>1</v>
      </c>
      <c r="BG279">
        <v>0</v>
      </c>
      <c r="BH279">
        <v>0</v>
      </c>
      <c r="BI279">
        <v>0</v>
      </c>
      <c r="BL279" t="s">
        <v>130</v>
      </c>
      <c r="BM279">
        <v>1</v>
      </c>
      <c r="BN279">
        <v>0</v>
      </c>
      <c r="BO279">
        <v>0</v>
      </c>
      <c r="BP279">
        <v>0</v>
      </c>
      <c r="BT279">
        <v>0</v>
      </c>
      <c r="BU279">
        <v>0</v>
      </c>
      <c r="CE279" t="str">
        <f>"20:20:40.906"</f>
        <v>20:20:40.906</v>
      </c>
      <c r="CF279">
        <v>905770638</v>
      </c>
      <c r="CS279">
        <v>0</v>
      </c>
      <c r="CT279">
        <v>2</v>
      </c>
      <c r="CU279">
        <v>0</v>
      </c>
      <c r="CV279">
        <v>2</v>
      </c>
      <c r="CW279">
        <v>0</v>
      </c>
      <c r="CX279">
        <v>2</v>
      </c>
      <c r="CY279">
        <v>7</v>
      </c>
      <c r="CZ279" t="s">
        <v>131</v>
      </c>
      <c r="DA279">
        <v>116</v>
      </c>
      <c r="DB279">
        <v>3</v>
      </c>
      <c r="DC279" t="s">
        <v>132</v>
      </c>
      <c r="DD279" t="s">
        <v>133</v>
      </c>
      <c r="DG279">
        <v>8239977</v>
      </c>
      <c r="DI279">
        <v>0</v>
      </c>
      <c r="DJ279">
        <v>0</v>
      </c>
      <c r="DK279">
        <v>1</v>
      </c>
      <c r="DL279">
        <v>0</v>
      </c>
      <c r="DM279">
        <v>0</v>
      </c>
      <c r="DN279">
        <v>0</v>
      </c>
      <c r="DO279">
        <v>0</v>
      </c>
      <c r="DP279">
        <v>1</v>
      </c>
      <c r="DQ279">
        <v>0</v>
      </c>
      <c r="DR279">
        <v>0</v>
      </c>
      <c r="DS279">
        <v>0</v>
      </c>
    </row>
    <row r="280" spans="1:123" x14ac:dyDescent="0.25">
      <c r="A280" t="str">
        <f>"11/29/2023 20:20:42.492"</f>
        <v>11/29/2023 20:20:42.492</v>
      </c>
      <c r="C280" t="str">
        <f t="shared" si="36"/>
        <v>FFDF53C0</v>
      </c>
      <c r="D280" t="s">
        <v>138</v>
      </c>
      <c r="E280">
        <v>3</v>
      </c>
      <c r="H280">
        <v>160</v>
      </c>
      <c r="I280" t="s">
        <v>124</v>
      </c>
      <c r="J280" t="s">
        <v>139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"20:20:41.969"</f>
        <v>20:20:41.969</v>
      </c>
      <c r="T280" t="str">
        <f>"20:20:41.569"</f>
        <v>20:20:41.569</v>
      </c>
      <c r="U280" t="str">
        <f t="shared" si="37"/>
        <v>AA0632</v>
      </c>
      <c r="V280">
        <v>0</v>
      </c>
      <c r="W280">
        <v>0</v>
      </c>
      <c r="X280">
        <v>2</v>
      </c>
      <c r="Y280">
        <v>0</v>
      </c>
      <c r="AA280">
        <v>0</v>
      </c>
      <c r="AB280">
        <v>9</v>
      </c>
      <c r="AC280">
        <v>3</v>
      </c>
      <c r="AD280">
        <v>0</v>
      </c>
      <c r="AE280">
        <v>10</v>
      </c>
      <c r="AF280" t="s">
        <v>126</v>
      </c>
      <c r="AG280">
        <v>0</v>
      </c>
      <c r="AH280">
        <v>0</v>
      </c>
      <c r="AI280">
        <v>2</v>
      </c>
      <c r="AJ280">
        <v>0</v>
      </c>
      <c r="AK280" t="s">
        <v>273</v>
      </c>
      <c r="AL280">
        <v>31.960944999999999</v>
      </c>
      <c r="AM280" t="s">
        <v>276</v>
      </c>
      <c r="AN280">
        <v>-101.133742</v>
      </c>
      <c r="AQ280" t="s">
        <v>129</v>
      </c>
      <c r="AR280">
        <v>90</v>
      </c>
      <c r="AS280">
        <v>-2</v>
      </c>
      <c r="AT280">
        <v>64</v>
      </c>
      <c r="BB280" t="str">
        <f t="shared" si="38"/>
        <v>1200</v>
      </c>
      <c r="BC280">
        <v>1</v>
      </c>
      <c r="BD280" t="str">
        <f t="shared" si="39"/>
        <v xml:space="preserve">N745MB  </v>
      </c>
      <c r="BE280">
        <v>1</v>
      </c>
      <c r="BG280">
        <v>0</v>
      </c>
      <c r="BH280">
        <v>0</v>
      </c>
      <c r="BI280">
        <v>0</v>
      </c>
      <c r="BL280" t="s">
        <v>130</v>
      </c>
      <c r="BM280">
        <v>1</v>
      </c>
      <c r="BN280">
        <v>0</v>
      </c>
      <c r="BO280">
        <v>0</v>
      </c>
      <c r="BP280">
        <v>0</v>
      </c>
      <c r="BT280">
        <v>0</v>
      </c>
      <c r="BU280">
        <v>0</v>
      </c>
      <c r="CE280" t="str">
        <f>"20:20:41.976"</f>
        <v>20:20:41.976</v>
      </c>
      <c r="CF280">
        <v>975699705</v>
      </c>
      <c r="CS280">
        <v>0</v>
      </c>
      <c r="CT280">
        <v>2</v>
      </c>
      <c r="CU280">
        <v>0</v>
      </c>
      <c r="CV280">
        <v>2</v>
      </c>
      <c r="CW280">
        <v>0</v>
      </c>
      <c r="CX280">
        <v>2</v>
      </c>
      <c r="CY280">
        <v>7</v>
      </c>
      <c r="CZ280" t="s">
        <v>131</v>
      </c>
      <c r="DA280">
        <v>116</v>
      </c>
      <c r="DB280">
        <v>3</v>
      </c>
      <c r="DC280" t="s">
        <v>132</v>
      </c>
      <c r="DD280" t="s">
        <v>133</v>
      </c>
      <c r="DG280">
        <v>8240511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1</v>
      </c>
      <c r="DQ280">
        <v>0</v>
      </c>
      <c r="DR280">
        <v>0</v>
      </c>
      <c r="DS280">
        <v>0</v>
      </c>
    </row>
    <row r="281" spans="1:123" x14ac:dyDescent="0.25">
      <c r="A281" t="str">
        <f>"11/29/2023 20:20:42.492"</f>
        <v>11/29/2023 20:20:42.492</v>
      </c>
      <c r="C281" t="str">
        <f t="shared" si="36"/>
        <v>FFDF53C0</v>
      </c>
      <c r="D281" t="s">
        <v>135</v>
      </c>
      <c r="E281">
        <v>31</v>
      </c>
      <c r="H281">
        <v>285</v>
      </c>
      <c r="I281" t="s">
        <v>136</v>
      </c>
      <c r="J281" t="s">
        <v>137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"20:20:41.969"</f>
        <v>20:20:41.969</v>
      </c>
      <c r="T281" t="str">
        <f>"20:20:41.569"</f>
        <v>20:20:41.569</v>
      </c>
      <c r="U281" t="str">
        <f t="shared" si="37"/>
        <v>AA0632</v>
      </c>
      <c r="V281">
        <v>0</v>
      </c>
      <c r="W281">
        <v>0</v>
      </c>
      <c r="X281">
        <v>2</v>
      </c>
      <c r="Y281">
        <v>0</v>
      </c>
      <c r="AA281">
        <v>0</v>
      </c>
      <c r="AB281">
        <v>9</v>
      </c>
      <c r="AC281">
        <v>3</v>
      </c>
      <c r="AD281">
        <v>0</v>
      </c>
      <c r="AE281">
        <v>10</v>
      </c>
      <c r="AF281" t="s">
        <v>126</v>
      </c>
      <c r="AG281">
        <v>0</v>
      </c>
      <c r="AH281">
        <v>0</v>
      </c>
      <c r="AI281">
        <v>2</v>
      </c>
      <c r="AJ281">
        <v>0</v>
      </c>
      <c r="AK281" t="s">
        <v>273</v>
      </c>
      <c r="AL281">
        <v>31.960944999999999</v>
      </c>
      <c r="AM281" t="s">
        <v>276</v>
      </c>
      <c r="AN281">
        <v>-101.133742</v>
      </c>
      <c r="AQ281" t="s">
        <v>129</v>
      </c>
      <c r="AR281">
        <v>90</v>
      </c>
      <c r="AS281">
        <v>-2</v>
      </c>
      <c r="AT281">
        <v>64</v>
      </c>
      <c r="BB281" t="str">
        <f t="shared" si="38"/>
        <v>1200</v>
      </c>
      <c r="BC281">
        <v>1</v>
      </c>
      <c r="BD281" t="str">
        <f t="shared" si="39"/>
        <v xml:space="preserve">N745MB  </v>
      </c>
      <c r="BE281">
        <v>1</v>
      </c>
      <c r="BG281">
        <v>0</v>
      </c>
      <c r="BH281">
        <v>0</v>
      </c>
      <c r="BI281">
        <v>0</v>
      </c>
      <c r="BL281" t="s">
        <v>130</v>
      </c>
      <c r="BM281">
        <v>1</v>
      </c>
      <c r="BN281">
        <v>0</v>
      </c>
      <c r="BO281">
        <v>0</v>
      </c>
      <c r="BP281">
        <v>0</v>
      </c>
      <c r="BT281">
        <v>0</v>
      </c>
      <c r="BU281">
        <v>0</v>
      </c>
      <c r="CE281" t="str">
        <f>"20:20:41.976"</f>
        <v>20:20:41.976</v>
      </c>
      <c r="CF281">
        <v>975699705</v>
      </c>
      <c r="CS281">
        <v>0</v>
      </c>
      <c r="CT281">
        <v>2</v>
      </c>
      <c r="CU281">
        <v>0</v>
      </c>
      <c r="CV281">
        <v>2</v>
      </c>
      <c r="CW281">
        <v>0</v>
      </c>
      <c r="CX281">
        <v>2</v>
      </c>
      <c r="CY281">
        <v>7</v>
      </c>
      <c r="CZ281" t="s">
        <v>131</v>
      </c>
      <c r="DA281">
        <v>116</v>
      </c>
      <c r="DB281">
        <v>3</v>
      </c>
      <c r="DC281" t="s">
        <v>132</v>
      </c>
      <c r="DD281" t="s">
        <v>133</v>
      </c>
      <c r="DG281">
        <v>8240511</v>
      </c>
      <c r="DI281">
        <v>0</v>
      </c>
      <c r="DJ281">
        <v>0</v>
      </c>
      <c r="DK281">
        <v>1</v>
      </c>
      <c r="DL281">
        <v>0</v>
      </c>
      <c r="DM281">
        <v>0</v>
      </c>
      <c r="DN281">
        <v>0</v>
      </c>
      <c r="DO281">
        <v>0</v>
      </c>
      <c r="DP281">
        <v>1</v>
      </c>
      <c r="DQ281">
        <v>0</v>
      </c>
      <c r="DR281">
        <v>0</v>
      </c>
      <c r="DS281">
        <v>0</v>
      </c>
    </row>
    <row r="282" spans="1:123" x14ac:dyDescent="0.25">
      <c r="A282" t="str">
        <f>"11/29/2023 20:20:42.492"</f>
        <v>11/29/2023 20:20:42.492</v>
      </c>
      <c r="C282" t="str">
        <f t="shared" si="36"/>
        <v>FFDF53C0</v>
      </c>
      <c r="D282" t="s">
        <v>123</v>
      </c>
      <c r="E282">
        <v>1</v>
      </c>
      <c r="F282">
        <v>1001</v>
      </c>
      <c r="G282" t="s">
        <v>134</v>
      </c>
      <c r="J282" t="s">
        <v>125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"20:20:41.969"</f>
        <v>20:20:41.969</v>
      </c>
      <c r="T282" t="str">
        <f>"20:20:41.569"</f>
        <v>20:20:41.569</v>
      </c>
      <c r="U282" t="str">
        <f t="shared" si="37"/>
        <v>AA0632</v>
      </c>
      <c r="V282">
        <v>0</v>
      </c>
      <c r="W282">
        <v>0</v>
      </c>
      <c r="X282">
        <v>2</v>
      </c>
      <c r="Y282">
        <v>0</v>
      </c>
      <c r="AA282">
        <v>0</v>
      </c>
      <c r="AB282">
        <v>9</v>
      </c>
      <c r="AC282">
        <v>3</v>
      </c>
      <c r="AD282">
        <v>0</v>
      </c>
      <c r="AE282">
        <v>10</v>
      </c>
      <c r="AF282" t="s">
        <v>126</v>
      </c>
      <c r="AG282">
        <v>0</v>
      </c>
      <c r="AH282">
        <v>0</v>
      </c>
      <c r="AI282">
        <v>2</v>
      </c>
      <c r="AJ282">
        <v>0</v>
      </c>
      <c r="AK282" t="s">
        <v>273</v>
      </c>
      <c r="AL282">
        <v>31.960944999999999</v>
      </c>
      <c r="AM282" t="s">
        <v>276</v>
      </c>
      <c r="AN282">
        <v>-101.133742</v>
      </c>
      <c r="AQ282" t="s">
        <v>129</v>
      </c>
      <c r="AR282">
        <v>90</v>
      </c>
      <c r="AS282">
        <v>-2</v>
      </c>
      <c r="AT282">
        <v>64</v>
      </c>
      <c r="BB282" t="str">
        <f t="shared" si="38"/>
        <v>1200</v>
      </c>
      <c r="BC282">
        <v>1</v>
      </c>
      <c r="BD282" t="str">
        <f t="shared" si="39"/>
        <v xml:space="preserve">N745MB  </v>
      </c>
      <c r="BE282">
        <v>1</v>
      </c>
      <c r="BG282">
        <v>0</v>
      </c>
      <c r="BH282">
        <v>0</v>
      </c>
      <c r="BI282">
        <v>0</v>
      </c>
      <c r="BL282" t="s">
        <v>130</v>
      </c>
      <c r="BM282">
        <v>1</v>
      </c>
      <c r="BN282">
        <v>0</v>
      </c>
      <c r="BO282">
        <v>0</v>
      </c>
      <c r="BP282">
        <v>0</v>
      </c>
      <c r="BT282">
        <v>0</v>
      </c>
      <c r="BU282">
        <v>0</v>
      </c>
      <c r="CE282" t="str">
        <f>"20:20:41.976"</f>
        <v>20:20:41.976</v>
      </c>
      <c r="CF282">
        <v>975699705</v>
      </c>
      <c r="CS282">
        <v>0</v>
      </c>
      <c r="CT282">
        <v>2</v>
      </c>
      <c r="CU282">
        <v>0</v>
      </c>
      <c r="CV282">
        <v>2</v>
      </c>
      <c r="CW282">
        <v>0</v>
      </c>
      <c r="CX282">
        <v>2</v>
      </c>
      <c r="CY282">
        <v>7</v>
      </c>
      <c r="CZ282" t="s">
        <v>131</v>
      </c>
      <c r="DA282">
        <v>116</v>
      </c>
      <c r="DB282">
        <v>3</v>
      </c>
      <c r="DC282" t="s">
        <v>132</v>
      </c>
      <c r="DD282" t="s">
        <v>133</v>
      </c>
      <c r="DG282">
        <v>8240511</v>
      </c>
      <c r="DI282">
        <v>0</v>
      </c>
      <c r="DJ282">
        <v>0</v>
      </c>
      <c r="DK282">
        <v>1</v>
      </c>
      <c r="DL282">
        <v>0</v>
      </c>
      <c r="DM282">
        <v>0</v>
      </c>
      <c r="DN282">
        <v>0</v>
      </c>
      <c r="DO282">
        <v>0</v>
      </c>
      <c r="DP282">
        <v>1</v>
      </c>
      <c r="DQ282">
        <v>0</v>
      </c>
      <c r="DR282">
        <v>0</v>
      </c>
      <c r="DS282">
        <v>0</v>
      </c>
    </row>
    <row r="283" spans="1:123" x14ac:dyDescent="0.25">
      <c r="A283" t="str">
        <f>"11/29/2023 20:20:42.492"</f>
        <v>11/29/2023 20:20:42.492</v>
      </c>
      <c r="C283" t="str">
        <f t="shared" si="36"/>
        <v>FFDF53C0</v>
      </c>
      <c r="D283" t="s">
        <v>123</v>
      </c>
      <c r="E283">
        <v>14</v>
      </c>
      <c r="F283">
        <v>1014</v>
      </c>
      <c r="G283" t="s">
        <v>124</v>
      </c>
      <c r="J283" t="s">
        <v>125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"20:20:41.969"</f>
        <v>20:20:41.969</v>
      </c>
      <c r="T283" t="str">
        <f>"20:20:41.569"</f>
        <v>20:20:41.569</v>
      </c>
      <c r="U283" t="str">
        <f t="shared" si="37"/>
        <v>AA0632</v>
      </c>
      <c r="V283">
        <v>0</v>
      </c>
      <c r="W283">
        <v>0</v>
      </c>
      <c r="X283">
        <v>2</v>
      </c>
      <c r="Y283">
        <v>0</v>
      </c>
      <c r="AA283">
        <v>0</v>
      </c>
      <c r="AB283">
        <v>9</v>
      </c>
      <c r="AC283">
        <v>3</v>
      </c>
      <c r="AD283">
        <v>0</v>
      </c>
      <c r="AE283">
        <v>10</v>
      </c>
      <c r="AF283" t="s">
        <v>126</v>
      </c>
      <c r="AG283">
        <v>0</v>
      </c>
      <c r="AH283">
        <v>0</v>
      </c>
      <c r="AI283">
        <v>2</v>
      </c>
      <c r="AJ283">
        <v>0</v>
      </c>
      <c r="AK283" t="s">
        <v>273</v>
      </c>
      <c r="AL283">
        <v>31.960944999999999</v>
      </c>
      <c r="AM283" t="s">
        <v>276</v>
      </c>
      <c r="AN283">
        <v>-101.133742</v>
      </c>
      <c r="AQ283" t="s">
        <v>129</v>
      </c>
      <c r="AR283">
        <v>90</v>
      </c>
      <c r="AS283">
        <v>-2</v>
      </c>
      <c r="AT283">
        <v>64</v>
      </c>
      <c r="BB283" t="str">
        <f t="shared" si="38"/>
        <v>1200</v>
      </c>
      <c r="BC283">
        <v>1</v>
      </c>
      <c r="BD283" t="str">
        <f t="shared" si="39"/>
        <v xml:space="preserve">N745MB  </v>
      </c>
      <c r="BE283">
        <v>1</v>
      </c>
      <c r="BG283">
        <v>0</v>
      </c>
      <c r="BH283">
        <v>0</v>
      </c>
      <c r="BI283">
        <v>0</v>
      </c>
      <c r="BL283" t="s">
        <v>130</v>
      </c>
      <c r="BM283">
        <v>1</v>
      </c>
      <c r="BN283">
        <v>0</v>
      </c>
      <c r="BO283">
        <v>0</v>
      </c>
      <c r="BP283">
        <v>0</v>
      </c>
      <c r="BT283">
        <v>0</v>
      </c>
      <c r="BU283">
        <v>0</v>
      </c>
      <c r="CE283" t="str">
        <f>"20:20:41.976"</f>
        <v>20:20:41.976</v>
      </c>
      <c r="CF283">
        <v>975699705</v>
      </c>
      <c r="CS283">
        <v>0</v>
      </c>
      <c r="CT283">
        <v>2</v>
      </c>
      <c r="CU283">
        <v>0</v>
      </c>
      <c r="CV283">
        <v>2</v>
      </c>
      <c r="CW283">
        <v>0</v>
      </c>
      <c r="CX283">
        <v>2</v>
      </c>
      <c r="CY283">
        <v>7</v>
      </c>
      <c r="CZ283" t="s">
        <v>131</v>
      </c>
      <c r="DA283">
        <v>116</v>
      </c>
      <c r="DB283">
        <v>3</v>
      </c>
      <c r="DC283" t="s">
        <v>132</v>
      </c>
      <c r="DD283" t="s">
        <v>133</v>
      </c>
      <c r="DG283">
        <v>8240511</v>
      </c>
      <c r="DI283">
        <v>0</v>
      </c>
      <c r="DJ283">
        <v>0</v>
      </c>
      <c r="DK283">
        <v>1</v>
      </c>
      <c r="DL283">
        <v>0</v>
      </c>
      <c r="DM283">
        <v>0</v>
      </c>
      <c r="DN283">
        <v>0</v>
      </c>
      <c r="DO283">
        <v>0</v>
      </c>
      <c r="DP283">
        <v>1</v>
      </c>
      <c r="DQ283">
        <v>0</v>
      </c>
      <c r="DR283">
        <v>0</v>
      </c>
      <c r="DS283">
        <v>0</v>
      </c>
    </row>
    <row r="284" spans="1:123" x14ac:dyDescent="0.25">
      <c r="A284" t="str">
        <f>"11/29/2023 20:20:43.867"</f>
        <v>11/29/2023 20:20:43.867</v>
      </c>
      <c r="C284" t="str">
        <f t="shared" si="36"/>
        <v>FFDF53C0</v>
      </c>
      <c r="D284" t="s">
        <v>123</v>
      </c>
      <c r="E284">
        <v>14</v>
      </c>
      <c r="F284">
        <v>1014</v>
      </c>
      <c r="G284" t="s">
        <v>124</v>
      </c>
      <c r="J284" t="s">
        <v>125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"20:20:43.492"</f>
        <v>20:20:43.492</v>
      </c>
      <c r="T284" t="str">
        <f>"20:20:43.192"</f>
        <v>20:20:43.192</v>
      </c>
      <c r="U284" t="str">
        <f t="shared" si="37"/>
        <v>AA0632</v>
      </c>
      <c r="V284">
        <v>0</v>
      </c>
      <c r="W284">
        <v>0</v>
      </c>
      <c r="X284">
        <v>2</v>
      </c>
      <c r="Y284">
        <v>0</v>
      </c>
      <c r="AA284">
        <v>0</v>
      </c>
      <c r="AB284">
        <v>9</v>
      </c>
      <c r="AC284">
        <v>3</v>
      </c>
      <c r="AD284">
        <v>0</v>
      </c>
      <c r="AE284">
        <v>10</v>
      </c>
      <c r="AF284" t="s">
        <v>126</v>
      </c>
      <c r="AG284">
        <v>0</v>
      </c>
      <c r="AH284">
        <v>0</v>
      </c>
      <c r="AI284">
        <v>2</v>
      </c>
      <c r="AJ284">
        <v>0</v>
      </c>
      <c r="AK284" t="s">
        <v>271</v>
      </c>
      <c r="AL284">
        <v>31.960923999999999</v>
      </c>
      <c r="AM284" t="s">
        <v>277</v>
      </c>
      <c r="AN284">
        <v>-101.132991</v>
      </c>
      <c r="AQ284" t="s">
        <v>129</v>
      </c>
      <c r="AR284">
        <v>89</v>
      </c>
      <c r="AS284">
        <v>-5</v>
      </c>
      <c r="AT284">
        <v>256</v>
      </c>
      <c r="BB284" t="str">
        <f t="shared" si="38"/>
        <v>1200</v>
      </c>
      <c r="BC284">
        <v>1</v>
      </c>
      <c r="BD284" t="str">
        <f t="shared" si="39"/>
        <v xml:space="preserve">N745MB  </v>
      </c>
      <c r="BE284">
        <v>1</v>
      </c>
      <c r="BG284">
        <v>0</v>
      </c>
      <c r="BH284">
        <v>0</v>
      </c>
      <c r="BI284">
        <v>0</v>
      </c>
      <c r="BL284" t="s">
        <v>130</v>
      </c>
      <c r="BM284">
        <v>1</v>
      </c>
      <c r="BN284">
        <v>0</v>
      </c>
      <c r="BO284">
        <v>0</v>
      </c>
      <c r="BP284">
        <v>0</v>
      </c>
      <c r="BT284">
        <v>0</v>
      </c>
      <c r="BU284">
        <v>0</v>
      </c>
      <c r="CE284" t="str">
        <f>"20:20:43.500"</f>
        <v>20:20:43.500</v>
      </c>
      <c r="CF284">
        <v>499595263</v>
      </c>
      <c r="CS284">
        <v>0</v>
      </c>
      <c r="CT284">
        <v>2</v>
      </c>
      <c r="CU284">
        <v>0</v>
      </c>
      <c r="CV284">
        <v>2</v>
      </c>
      <c r="CW284">
        <v>0</v>
      </c>
      <c r="CX284">
        <v>2</v>
      </c>
      <c r="CY284">
        <v>7</v>
      </c>
      <c r="CZ284" t="s">
        <v>131</v>
      </c>
      <c r="DA284">
        <v>116</v>
      </c>
      <c r="DB284">
        <v>3</v>
      </c>
      <c r="DC284" t="s">
        <v>132</v>
      </c>
      <c r="DD284" t="s">
        <v>133</v>
      </c>
      <c r="DG284">
        <v>8241332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1</v>
      </c>
      <c r="DQ284">
        <v>0</v>
      </c>
      <c r="DR284">
        <v>0</v>
      </c>
      <c r="DS284">
        <v>0</v>
      </c>
    </row>
    <row r="285" spans="1:123" x14ac:dyDescent="0.25">
      <c r="A285" t="str">
        <f>"11/29/2023 20:20:43.898"</f>
        <v>11/29/2023 20:20:43.898</v>
      </c>
      <c r="C285" t="str">
        <f t="shared" si="36"/>
        <v>FFDF53C0</v>
      </c>
      <c r="D285" t="s">
        <v>138</v>
      </c>
      <c r="E285">
        <v>3</v>
      </c>
      <c r="H285">
        <v>160</v>
      </c>
      <c r="I285" t="s">
        <v>124</v>
      </c>
      <c r="J285" t="s">
        <v>139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"20:20:43.492"</f>
        <v>20:20:43.492</v>
      </c>
      <c r="T285" t="str">
        <f>"20:20:43.192"</f>
        <v>20:20:43.192</v>
      </c>
      <c r="U285" t="str">
        <f t="shared" si="37"/>
        <v>AA0632</v>
      </c>
      <c r="V285">
        <v>0</v>
      </c>
      <c r="W285">
        <v>0</v>
      </c>
      <c r="X285">
        <v>2</v>
      </c>
      <c r="Y285">
        <v>0</v>
      </c>
      <c r="AA285">
        <v>0</v>
      </c>
      <c r="AB285">
        <v>9</v>
      </c>
      <c r="AC285">
        <v>3</v>
      </c>
      <c r="AD285">
        <v>0</v>
      </c>
      <c r="AE285">
        <v>10</v>
      </c>
      <c r="AF285" t="s">
        <v>126</v>
      </c>
      <c r="AG285">
        <v>0</v>
      </c>
      <c r="AH285">
        <v>0</v>
      </c>
      <c r="AI285">
        <v>2</v>
      </c>
      <c r="AJ285">
        <v>0</v>
      </c>
      <c r="AK285" t="s">
        <v>271</v>
      </c>
      <c r="AL285">
        <v>31.960923999999999</v>
      </c>
      <c r="AM285" t="s">
        <v>277</v>
      </c>
      <c r="AN285">
        <v>-101.132991</v>
      </c>
      <c r="AQ285" t="s">
        <v>129</v>
      </c>
      <c r="AR285">
        <v>89</v>
      </c>
      <c r="AS285">
        <v>-5</v>
      </c>
      <c r="AT285">
        <v>256</v>
      </c>
      <c r="BB285" t="str">
        <f t="shared" si="38"/>
        <v>1200</v>
      </c>
      <c r="BC285">
        <v>1</v>
      </c>
      <c r="BD285" t="str">
        <f t="shared" si="39"/>
        <v xml:space="preserve">N745MB  </v>
      </c>
      <c r="BE285">
        <v>1</v>
      </c>
      <c r="BG285">
        <v>0</v>
      </c>
      <c r="BH285">
        <v>0</v>
      </c>
      <c r="BI285">
        <v>0</v>
      </c>
      <c r="BL285" t="s">
        <v>130</v>
      </c>
      <c r="BM285">
        <v>1</v>
      </c>
      <c r="BN285">
        <v>0</v>
      </c>
      <c r="BO285">
        <v>0</v>
      </c>
      <c r="BP285">
        <v>0</v>
      </c>
      <c r="BT285">
        <v>0</v>
      </c>
      <c r="BU285">
        <v>0</v>
      </c>
      <c r="CE285" t="str">
        <f>"20:20:43.500"</f>
        <v>20:20:43.500</v>
      </c>
      <c r="CF285">
        <v>499595263</v>
      </c>
      <c r="CS285">
        <v>0</v>
      </c>
      <c r="CT285">
        <v>2</v>
      </c>
      <c r="CU285">
        <v>0</v>
      </c>
      <c r="CV285">
        <v>2</v>
      </c>
      <c r="CW285">
        <v>0</v>
      </c>
      <c r="CX285">
        <v>2</v>
      </c>
      <c r="CY285">
        <v>7</v>
      </c>
      <c r="CZ285" t="s">
        <v>131</v>
      </c>
      <c r="DA285">
        <v>116</v>
      </c>
      <c r="DB285">
        <v>3</v>
      </c>
      <c r="DC285" t="s">
        <v>132</v>
      </c>
      <c r="DD285" t="s">
        <v>133</v>
      </c>
      <c r="DG285">
        <v>8241332</v>
      </c>
      <c r="DI285">
        <v>0</v>
      </c>
      <c r="DJ285">
        <v>0</v>
      </c>
      <c r="DK285">
        <v>1</v>
      </c>
      <c r="DL285">
        <v>0</v>
      </c>
      <c r="DM285">
        <v>0</v>
      </c>
      <c r="DN285">
        <v>0</v>
      </c>
      <c r="DO285">
        <v>0</v>
      </c>
      <c r="DP285">
        <v>1</v>
      </c>
      <c r="DQ285">
        <v>0</v>
      </c>
      <c r="DR285">
        <v>0</v>
      </c>
      <c r="DS285">
        <v>0</v>
      </c>
    </row>
    <row r="286" spans="1:123" x14ac:dyDescent="0.25">
      <c r="A286" t="str">
        <f>"11/29/2023 20:20:43.898"</f>
        <v>11/29/2023 20:20:43.898</v>
      </c>
      <c r="C286" t="str">
        <f t="shared" si="36"/>
        <v>FFDF53C0</v>
      </c>
      <c r="D286" t="s">
        <v>135</v>
      </c>
      <c r="E286">
        <v>31</v>
      </c>
      <c r="H286">
        <v>285</v>
      </c>
      <c r="I286" t="s">
        <v>136</v>
      </c>
      <c r="J286" t="s">
        <v>137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"20:20:43.492"</f>
        <v>20:20:43.492</v>
      </c>
      <c r="T286" t="str">
        <f>"20:20:43.192"</f>
        <v>20:20:43.192</v>
      </c>
      <c r="U286" t="str">
        <f t="shared" si="37"/>
        <v>AA0632</v>
      </c>
      <c r="V286">
        <v>0</v>
      </c>
      <c r="W286">
        <v>0</v>
      </c>
      <c r="X286">
        <v>2</v>
      </c>
      <c r="Y286">
        <v>0</v>
      </c>
      <c r="AA286">
        <v>0</v>
      </c>
      <c r="AB286">
        <v>9</v>
      </c>
      <c r="AC286">
        <v>3</v>
      </c>
      <c r="AD286">
        <v>0</v>
      </c>
      <c r="AE286">
        <v>10</v>
      </c>
      <c r="AF286" t="s">
        <v>126</v>
      </c>
      <c r="AG286">
        <v>0</v>
      </c>
      <c r="AH286">
        <v>0</v>
      </c>
      <c r="AI286">
        <v>2</v>
      </c>
      <c r="AJ286">
        <v>0</v>
      </c>
      <c r="AK286" t="s">
        <v>271</v>
      </c>
      <c r="AL286">
        <v>31.960923999999999</v>
      </c>
      <c r="AM286" t="s">
        <v>277</v>
      </c>
      <c r="AN286">
        <v>-101.132991</v>
      </c>
      <c r="AQ286" t="s">
        <v>129</v>
      </c>
      <c r="AR286">
        <v>89</v>
      </c>
      <c r="AS286">
        <v>-5</v>
      </c>
      <c r="AT286">
        <v>256</v>
      </c>
      <c r="BB286" t="str">
        <f t="shared" si="38"/>
        <v>1200</v>
      </c>
      <c r="BC286">
        <v>1</v>
      </c>
      <c r="BD286" t="str">
        <f t="shared" si="39"/>
        <v xml:space="preserve">N745MB  </v>
      </c>
      <c r="BE286">
        <v>1</v>
      </c>
      <c r="BG286">
        <v>0</v>
      </c>
      <c r="BH286">
        <v>0</v>
      </c>
      <c r="BI286">
        <v>0</v>
      </c>
      <c r="BL286" t="s">
        <v>130</v>
      </c>
      <c r="BM286">
        <v>1</v>
      </c>
      <c r="BN286">
        <v>0</v>
      </c>
      <c r="BO286">
        <v>0</v>
      </c>
      <c r="BP286">
        <v>0</v>
      </c>
      <c r="BT286">
        <v>0</v>
      </c>
      <c r="BU286">
        <v>0</v>
      </c>
      <c r="CE286" t="str">
        <f>"20:20:43.500"</f>
        <v>20:20:43.500</v>
      </c>
      <c r="CF286">
        <v>499595263</v>
      </c>
      <c r="CS286">
        <v>0</v>
      </c>
      <c r="CT286">
        <v>2</v>
      </c>
      <c r="CU286">
        <v>0</v>
      </c>
      <c r="CV286">
        <v>2</v>
      </c>
      <c r="CW286">
        <v>0</v>
      </c>
      <c r="CX286">
        <v>2</v>
      </c>
      <c r="CY286">
        <v>7</v>
      </c>
      <c r="CZ286" t="s">
        <v>131</v>
      </c>
      <c r="DA286">
        <v>116</v>
      </c>
      <c r="DB286">
        <v>3</v>
      </c>
      <c r="DC286" t="s">
        <v>132</v>
      </c>
      <c r="DD286" t="s">
        <v>133</v>
      </c>
      <c r="DG286">
        <v>8241332</v>
      </c>
      <c r="DI286">
        <v>0</v>
      </c>
      <c r="DJ286">
        <v>0</v>
      </c>
      <c r="DK286">
        <v>1</v>
      </c>
      <c r="DL286">
        <v>0</v>
      </c>
      <c r="DM286">
        <v>0</v>
      </c>
      <c r="DN286">
        <v>0</v>
      </c>
      <c r="DO286">
        <v>0</v>
      </c>
      <c r="DP286">
        <v>1</v>
      </c>
      <c r="DQ286">
        <v>0</v>
      </c>
      <c r="DR286">
        <v>0</v>
      </c>
      <c r="DS286">
        <v>0</v>
      </c>
    </row>
    <row r="287" spans="1:123" x14ac:dyDescent="0.25">
      <c r="A287" t="str">
        <f>"11/29/2023 20:20:43.898"</f>
        <v>11/29/2023 20:20:43.898</v>
      </c>
      <c r="C287" t="str">
        <f t="shared" si="36"/>
        <v>FFDF53C0</v>
      </c>
      <c r="D287" t="s">
        <v>123</v>
      </c>
      <c r="E287">
        <v>1</v>
      </c>
      <c r="F287">
        <v>1001</v>
      </c>
      <c r="G287" t="s">
        <v>134</v>
      </c>
      <c r="J287" t="s">
        <v>125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"20:20:43.492"</f>
        <v>20:20:43.492</v>
      </c>
      <c r="T287" t="str">
        <f>"20:20:43.192"</f>
        <v>20:20:43.192</v>
      </c>
      <c r="U287" t="str">
        <f t="shared" si="37"/>
        <v>AA0632</v>
      </c>
      <c r="V287">
        <v>0</v>
      </c>
      <c r="W287">
        <v>0</v>
      </c>
      <c r="X287">
        <v>2</v>
      </c>
      <c r="Y287">
        <v>0</v>
      </c>
      <c r="AA287">
        <v>0</v>
      </c>
      <c r="AB287">
        <v>9</v>
      </c>
      <c r="AC287">
        <v>3</v>
      </c>
      <c r="AD287">
        <v>0</v>
      </c>
      <c r="AE287">
        <v>10</v>
      </c>
      <c r="AF287" t="s">
        <v>126</v>
      </c>
      <c r="AG287">
        <v>0</v>
      </c>
      <c r="AH287">
        <v>0</v>
      </c>
      <c r="AI287">
        <v>2</v>
      </c>
      <c r="AJ287">
        <v>0</v>
      </c>
      <c r="AK287" t="s">
        <v>271</v>
      </c>
      <c r="AL287">
        <v>31.960923999999999</v>
      </c>
      <c r="AM287" t="s">
        <v>277</v>
      </c>
      <c r="AN287">
        <v>-101.132991</v>
      </c>
      <c r="AQ287" t="s">
        <v>129</v>
      </c>
      <c r="AR287">
        <v>89</v>
      </c>
      <c r="AS287">
        <v>-5</v>
      </c>
      <c r="AT287">
        <v>256</v>
      </c>
      <c r="BB287" t="str">
        <f t="shared" si="38"/>
        <v>1200</v>
      </c>
      <c r="BC287">
        <v>1</v>
      </c>
      <c r="BD287" t="str">
        <f t="shared" si="39"/>
        <v xml:space="preserve">N745MB  </v>
      </c>
      <c r="BE287">
        <v>1</v>
      </c>
      <c r="BG287">
        <v>0</v>
      </c>
      <c r="BH287">
        <v>0</v>
      </c>
      <c r="BI287">
        <v>0</v>
      </c>
      <c r="BL287" t="s">
        <v>130</v>
      </c>
      <c r="BM287">
        <v>1</v>
      </c>
      <c r="BN287">
        <v>0</v>
      </c>
      <c r="BO287">
        <v>0</v>
      </c>
      <c r="BP287">
        <v>0</v>
      </c>
      <c r="BT287">
        <v>0</v>
      </c>
      <c r="BU287">
        <v>0</v>
      </c>
      <c r="CE287" t="str">
        <f>"20:20:43.500"</f>
        <v>20:20:43.500</v>
      </c>
      <c r="CF287">
        <v>499595263</v>
      </c>
      <c r="CS287">
        <v>0</v>
      </c>
      <c r="CT287">
        <v>2</v>
      </c>
      <c r="CU287">
        <v>0</v>
      </c>
      <c r="CV287">
        <v>2</v>
      </c>
      <c r="CW287">
        <v>0</v>
      </c>
      <c r="CX287">
        <v>2</v>
      </c>
      <c r="CY287">
        <v>7</v>
      </c>
      <c r="CZ287" t="s">
        <v>131</v>
      </c>
      <c r="DA287">
        <v>116</v>
      </c>
      <c r="DB287">
        <v>3</v>
      </c>
      <c r="DC287" t="s">
        <v>132</v>
      </c>
      <c r="DD287" t="s">
        <v>133</v>
      </c>
      <c r="DG287">
        <v>8241332</v>
      </c>
      <c r="DI287">
        <v>0</v>
      </c>
      <c r="DJ287">
        <v>0</v>
      </c>
      <c r="DK287">
        <v>1</v>
      </c>
      <c r="DL287">
        <v>0</v>
      </c>
      <c r="DM287">
        <v>0</v>
      </c>
      <c r="DN287">
        <v>0</v>
      </c>
      <c r="DO287">
        <v>0</v>
      </c>
      <c r="DP287">
        <v>1</v>
      </c>
      <c r="DQ287">
        <v>0</v>
      </c>
      <c r="DR287">
        <v>0</v>
      </c>
      <c r="DS287">
        <v>0</v>
      </c>
    </row>
    <row r="288" spans="1:123" x14ac:dyDescent="0.25">
      <c r="A288" t="str">
        <f>"11/29/2023 20:20:45.133"</f>
        <v>11/29/2023 20:20:45.133</v>
      </c>
      <c r="C288" t="str">
        <f t="shared" si="36"/>
        <v>FFDF53C0</v>
      </c>
      <c r="D288" t="s">
        <v>138</v>
      </c>
      <c r="E288">
        <v>3</v>
      </c>
      <c r="H288">
        <v>160</v>
      </c>
      <c r="I288" t="s">
        <v>124</v>
      </c>
      <c r="J288" t="s">
        <v>139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 t="shared" ref="S288:T291" si="40">"20:20:44.609"</f>
        <v>20:20:44.609</v>
      </c>
      <c r="T288" t="str">
        <f t="shared" si="40"/>
        <v>20:20:44.609</v>
      </c>
      <c r="U288" t="str">
        <f t="shared" si="37"/>
        <v>AA0632</v>
      </c>
      <c r="V288">
        <v>0</v>
      </c>
      <c r="W288">
        <v>0</v>
      </c>
      <c r="X288">
        <v>2</v>
      </c>
      <c r="Y288">
        <v>0</v>
      </c>
      <c r="AA288">
        <v>0</v>
      </c>
      <c r="AB288">
        <v>9</v>
      </c>
      <c r="AC288">
        <v>3</v>
      </c>
      <c r="AD288">
        <v>0</v>
      </c>
      <c r="AE288">
        <v>10</v>
      </c>
      <c r="AF288" t="s">
        <v>126</v>
      </c>
      <c r="AG288">
        <v>0</v>
      </c>
      <c r="AH288">
        <v>0</v>
      </c>
      <c r="AI288">
        <v>2</v>
      </c>
      <c r="AJ288">
        <v>0</v>
      </c>
      <c r="AK288" t="s">
        <v>278</v>
      </c>
      <c r="AL288">
        <v>31.960881000000001</v>
      </c>
      <c r="AM288" t="s">
        <v>279</v>
      </c>
      <c r="AN288">
        <v>-101.13245499999999</v>
      </c>
      <c r="AQ288" t="s">
        <v>129</v>
      </c>
      <c r="AR288">
        <v>88</v>
      </c>
      <c r="AS288">
        <v>-9</v>
      </c>
      <c r="AT288">
        <v>256</v>
      </c>
      <c r="BB288" t="str">
        <f t="shared" si="38"/>
        <v>1200</v>
      </c>
      <c r="BC288">
        <v>1</v>
      </c>
      <c r="BD288" t="str">
        <f t="shared" si="39"/>
        <v xml:space="preserve">N745MB  </v>
      </c>
      <c r="BE288">
        <v>1</v>
      </c>
      <c r="BG288">
        <v>0</v>
      </c>
      <c r="BH288">
        <v>0</v>
      </c>
      <c r="BI288">
        <v>0</v>
      </c>
      <c r="BL288" t="s">
        <v>130</v>
      </c>
      <c r="BM288">
        <v>1</v>
      </c>
      <c r="BN288">
        <v>0</v>
      </c>
      <c r="BO288">
        <v>0</v>
      </c>
      <c r="BP288">
        <v>0</v>
      </c>
      <c r="BT288">
        <v>0</v>
      </c>
      <c r="BU288">
        <v>0</v>
      </c>
      <c r="CE288" t="str">
        <f>"20:20:44.614"</f>
        <v>20:20:44.614</v>
      </c>
      <c r="CF288">
        <v>613521685</v>
      </c>
      <c r="CS288">
        <v>0</v>
      </c>
      <c r="CT288">
        <v>2</v>
      </c>
      <c r="CU288">
        <v>0</v>
      </c>
      <c r="CV288">
        <v>2</v>
      </c>
      <c r="CW288">
        <v>0</v>
      </c>
      <c r="CX288">
        <v>2</v>
      </c>
      <c r="CY288">
        <v>7</v>
      </c>
      <c r="CZ288" t="s">
        <v>131</v>
      </c>
      <c r="DA288">
        <v>116</v>
      </c>
      <c r="DB288">
        <v>3</v>
      </c>
      <c r="DC288" t="s">
        <v>132</v>
      </c>
      <c r="DD288" t="s">
        <v>133</v>
      </c>
      <c r="DG288">
        <v>8241929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1</v>
      </c>
      <c r="DQ288">
        <v>0</v>
      </c>
      <c r="DR288">
        <v>0</v>
      </c>
      <c r="DS288">
        <v>0</v>
      </c>
    </row>
    <row r="289" spans="1:123" x14ac:dyDescent="0.25">
      <c r="A289" t="str">
        <f>"11/29/2023 20:20:45.226"</f>
        <v>11/29/2023 20:20:45.226</v>
      </c>
      <c r="C289" t="str">
        <f t="shared" si="36"/>
        <v>FFDF53C0</v>
      </c>
      <c r="D289" t="s">
        <v>135</v>
      </c>
      <c r="E289">
        <v>31</v>
      </c>
      <c r="H289">
        <v>285</v>
      </c>
      <c r="I289" t="s">
        <v>136</v>
      </c>
      <c r="J289" t="s">
        <v>137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 t="shared" si="40"/>
        <v>20:20:44.609</v>
      </c>
      <c r="T289" t="str">
        <f t="shared" si="40"/>
        <v>20:20:44.609</v>
      </c>
      <c r="U289" t="str">
        <f t="shared" si="37"/>
        <v>AA0632</v>
      </c>
      <c r="V289">
        <v>0</v>
      </c>
      <c r="W289">
        <v>0</v>
      </c>
      <c r="X289">
        <v>2</v>
      </c>
      <c r="Y289">
        <v>0</v>
      </c>
      <c r="AA289">
        <v>0</v>
      </c>
      <c r="AB289">
        <v>9</v>
      </c>
      <c r="AC289">
        <v>3</v>
      </c>
      <c r="AD289">
        <v>0</v>
      </c>
      <c r="AE289">
        <v>10</v>
      </c>
      <c r="AF289" t="s">
        <v>126</v>
      </c>
      <c r="AG289">
        <v>0</v>
      </c>
      <c r="AH289">
        <v>0</v>
      </c>
      <c r="AI289">
        <v>2</v>
      </c>
      <c r="AJ289">
        <v>0</v>
      </c>
      <c r="AK289" t="s">
        <v>278</v>
      </c>
      <c r="AL289">
        <v>31.960881000000001</v>
      </c>
      <c r="AM289" t="s">
        <v>279</v>
      </c>
      <c r="AN289">
        <v>-101.13245499999999</v>
      </c>
      <c r="AQ289" t="s">
        <v>129</v>
      </c>
      <c r="AR289">
        <v>88</v>
      </c>
      <c r="AS289">
        <v>-9</v>
      </c>
      <c r="AT289">
        <v>256</v>
      </c>
      <c r="BB289" t="str">
        <f t="shared" si="38"/>
        <v>1200</v>
      </c>
      <c r="BC289">
        <v>1</v>
      </c>
      <c r="BD289" t="str">
        <f t="shared" si="39"/>
        <v xml:space="preserve">N745MB  </v>
      </c>
      <c r="BE289">
        <v>1</v>
      </c>
      <c r="BG289">
        <v>0</v>
      </c>
      <c r="BH289">
        <v>0</v>
      </c>
      <c r="BI289">
        <v>0</v>
      </c>
      <c r="BL289" t="s">
        <v>130</v>
      </c>
      <c r="BM289">
        <v>1</v>
      </c>
      <c r="BN289">
        <v>0</v>
      </c>
      <c r="BO289">
        <v>0</v>
      </c>
      <c r="BP289">
        <v>0</v>
      </c>
      <c r="BT289">
        <v>0</v>
      </c>
      <c r="BU289">
        <v>0</v>
      </c>
      <c r="CE289" t="str">
        <f>"20:20:44.614"</f>
        <v>20:20:44.614</v>
      </c>
      <c r="CF289">
        <v>613521685</v>
      </c>
      <c r="CS289">
        <v>0</v>
      </c>
      <c r="CT289">
        <v>2</v>
      </c>
      <c r="CU289">
        <v>0</v>
      </c>
      <c r="CV289">
        <v>2</v>
      </c>
      <c r="CW289">
        <v>0</v>
      </c>
      <c r="CX289">
        <v>2</v>
      </c>
      <c r="CY289">
        <v>7</v>
      </c>
      <c r="CZ289" t="s">
        <v>131</v>
      </c>
      <c r="DA289">
        <v>116</v>
      </c>
      <c r="DB289">
        <v>3</v>
      </c>
      <c r="DC289" t="s">
        <v>132</v>
      </c>
      <c r="DD289" t="s">
        <v>133</v>
      </c>
      <c r="DG289">
        <v>8241929</v>
      </c>
      <c r="DI289">
        <v>0</v>
      </c>
      <c r="DJ289">
        <v>0</v>
      </c>
      <c r="DK289">
        <v>1</v>
      </c>
      <c r="DL289">
        <v>0</v>
      </c>
      <c r="DM289">
        <v>0</v>
      </c>
      <c r="DN289">
        <v>0</v>
      </c>
      <c r="DO289">
        <v>0</v>
      </c>
      <c r="DP289">
        <v>1</v>
      </c>
      <c r="DQ289">
        <v>0</v>
      </c>
      <c r="DR289">
        <v>0</v>
      </c>
      <c r="DS289">
        <v>0</v>
      </c>
    </row>
    <row r="290" spans="1:123" x14ac:dyDescent="0.25">
      <c r="A290" t="str">
        <f>"11/29/2023 20:20:45.226"</f>
        <v>11/29/2023 20:20:45.226</v>
      </c>
      <c r="C290" t="str">
        <f t="shared" si="36"/>
        <v>FFDF53C0</v>
      </c>
      <c r="D290" t="s">
        <v>123</v>
      </c>
      <c r="E290">
        <v>1</v>
      </c>
      <c r="F290">
        <v>1001</v>
      </c>
      <c r="G290" t="s">
        <v>134</v>
      </c>
      <c r="J290" t="s">
        <v>125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 t="shared" si="40"/>
        <v>20:20:44.609</v>
      </c>
      <c r="T290" t="str">
        <f t="shared" si="40"/>
        <v>20:20:44.609</v>
      </c>
      <c r="U290" t="str">
        <f t="shared" si="37"/>
        <v>AA0632</v>
      </c>
      <c r="V290">
        <v>0</v>
      </c>
      <c r="W290">
        <v>0</v>
      </c>
      <c r="X290">
        <v>2</v>
      </c>
      <c r="Y290">
        <v>0</v>
      </c>
      <c r="AA290">
        <v>0</v>
      </c>
      <c r="AB290">
        <v>9</v>
      </c>
      <c r="AC290">
        <v>3</v>
      </c>
      <c r="AD290">
        <v>0</v>
      </c>
      <c r="AE290">
        <v>10</v>
      </c>
      <c r="AF290" t="s">
        <v>126</v>
      </c>
      <c r="AG290">
        <v>0</v>
      </c>
      <c r="AH290">
        <v>0</v>
      </c>
      <c r="AI290">
        <v>2</v>
      </c>
      <c r="AJ290">
        <v>0</v>
      </c>
      <c r="AK290" t="s">
        <v>278</v>
      </c>
      <c r="AL290">
        <v>31.960881000000001</v>
      </c>
      <c r="AM290" t="s">
        <v>279</v>
      </c>
      <c r="AN290">
        <v>-101.13245499999999</v>
      </c>
      <c r="AQ290" t="s">
        <v>129</v>
      </c>
      <c r="AR290">
        <v>88</v>
      </c>
      <c r="AS290">
        <v>-9</v>
      </c>
      <c r="AT290">
        <v>256</v>
      </c>
      <c r="BB290" t="str">
        <f t="shared" si="38"/>
        <v>1200</v>
      </c>
      <c r="BC290">
        <v>1</v>
      </c>
      <c r="BD290" t="str">
        <f t="shared" si="39"/>
        <v xml:space="preserve">N745MB  </v>
      </c>
      <c r="BE290">
        <v>1</v>
      </c>
      <c r="BG290">
        <v>0</v>
      </c>
      <c r="BH290">
        <v>0</v>
      </c>
      <c r="BI290">
        <v>0</v>
      </c>
      <c r="BL290" t="s">
        <v>130</v>
      </c>
      <c r="BM290">
        <v>1</v>
      </c>
      <c r="BN290">
        <v>0</v>
      </c>
      <c r="BO290">
        <v>0</v>
      </c>
      <c r="BP290">
        <v>0</v>
      </c>
      <c r="BT290">
        <v>0</v>
      </c>
      <c r="BU290">
        <v>0</v>
      </c>
      <c r="CE290" t="str">
        <f>"20:20:44.614"</f>
        <v>20:20:44.614</v>
      </c>
      <c r="CF290">
        <v>613521685</v>
      </c>
      <c r="CS290">
        <v>0</v>
      </c>
      <c r="CT290">
        <v>2</v>
      </c>
      <c r="CU290">
        <v>0</v>
      </c>
      <c r="CV290">
        <v>2</v>
      </c>
      <c r="CW290">
        <v>0</v>
      </c>
      <c r="CX290">
        <v>2</v>
      </c>
      <c r="CY290">
        <v>7</v>
      </c>
      <c r="CZ290" t="s">
        <v>131</v>
      </c>
      <c r="DA290">
        <v>116</v>
      </c>
      <c r="DB290">
        <v>3</v>
      </c>
      <c r="DC290" t="s">
        <v>132</v>
      </c>
      <c r="DD290" t="s">
        <v>133</v>
      </c>
      <c r="DG290">
        <v>8241929</v>
      </c>
      <c r="DI290">
        <v>0</v>
      </c>
      <c r="DJ290">
        <v>0</v>
      </c>
      <c r="DK290">
        <v>1</v>
      </c>
      <c r="DL290">
        <v>0</v>
      </c>
      <c r="DM290">
        <v>0</v>
      </c>
      <c r="DN290">
        <v>0</v>
      </c>
      <c r="DO290">
        <v>0</v>
      </c>
      <c r="DP290">
        <v>1</v>
      </c>
      <c r="DQ290">
        <v>0</v>
      </c>
      <c r="DR290">
        <v>0</v>
      </c>
      <c r="DS290">
        <v>0</v>
      </c>
    </row>
    <row r="291" spans="1:123" x14ac:dyDescent="0.25">
      <c r="A291" t="str">
        <f>"11/29/2023 20:20:45.289"</f>
        <v>11/29/2023 20:20:45.289</v>
      </c>
      <c r="C291" t="str">
        <f t="shared" si="36"/>
        <v>FFDF53C0</v>
      </c>
      <c r="D291" t="s">
        <v>123</v>
      </c>
      <c r="E291">
        <v>14</v>
      </c>
      <c r="F291">
        <v>1014</v>
      </c>
      <c r="G291" t="s">
        <v>124</v>
      </c>
      <c r="J291" t="s">
        <v>125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 t="shared" si="40"/>
        <v>20:20:44.609</v>
      </c>
      <c r="T291" t="str">
        <f t="shared" si="40"/>
        <v>20:20:44.609</v>
      </c>
      <c r="U291" t="str">
        <f t="shared" si="37"/>
        <v>AA0632</v>
      </c>
      <c r="V291">
        <v>0</v>
      </c>
      <c r="W291">
        <v>0</v>
      </c>
      <c r="X291">
        <v>2</v>
      </c>
      <c r="Y291">
        <v>0</v>
      </c>
      <c r="AA291">
        <v>0</v>
      </c>
      <c r="AB291">
        <v>9</v>
      </c>
      <c r="AC291">
        <v>3</v>
      </c>
      <c r="AD291">
        <v>0</v>
      </c>
      <c r="AE291">
        <v>10</v>
      </c>
      <c r="AF291" t="s">
        <v>126</v>
      </c>
      <c r="AG291">
        <v>0</v>
      </c>
      <c r="AH291">
        <v>0</v>
      </c>
      <c r="AI291">
        <v>2</v>
      </c>
      <c r="AJ291">
        <v>0</v>
      </c>
      <c r="AK291" t="s">
        <v>278</v>
      </c>
      <c r="AL291">
        <v>31.960881000000001</v>
      </c>
      <c r="AM291" t="s">
        <v>279</v>
      </c>
      <c r="AN291">
        <v>-101.13245499999999</v>
      </c>
      <c r="AQ291" t="s">
        <v>129</v>
      </c>
      <c r="AR291">
        <v>88</v>
      </c>
      <c r="AS291">
        <v>-9</v>
      </c>
      <c r="AT291">
        <v>256</v>
      </c>
      <c r="BB291" t="str">
        <f t="shared" si="38"/>
        <v>1200</v>
      </c>
      <c r="BC291">
        <v>1</v>
      </c>
      <c r="BD291" t="str">
        <f t="shared" si="39"/>
        <v xml:space="preserve">N745MB  </v>
      </c>
      <c r="BE291">
        <v>1</v>
      </c>
      <c r="BG291">
        <v>0</v>
      </c>
      <c r="BH291">
        <v>0</v>
      </c>
      <c r="BI291">
        <v>0</v>
      </c>
      <c r="BL291" t="s">
        <v>130</v>
      </c>
      <c r="BM291">
        <v>1</v>
      </c>
      <c r="BN291">
        <v>0</v>
      </c>
      <c r="BO291">
        <v>0</v>
      </c>
      <c r="BP291">
        <v>0</v>
      </c>
      <c r="BT291">
        <v>0</v>
      </c>
      <c r="BU291">
        <v>0</v>
      </c>
      <c r="CE291" t="str">
        <f>"20:20:44.614"</f>
        <v>20:20:44.614</v>
      </c>
      <c r="CF291">
        <v>613521685</v>
      </c>
      <c r="CS291">
        <v>0</v>
      </c>
      <c r="CT291">
        <v>2</v>
      </c>
      <c r="CU291">
        <v>0</v>
      </c>
      <c r="CV291">
        <v>2</v>
      </c>
      <c r="CW291">
        <v>0</v>
      </c>
      <c r="CX291">
        <v>2</v>
      </c>
      <c r="CY291">
        <v>7</v>
      </c>
      <c r="CZ291" t="s">
        <v>131</v>
      </c>
      <c r="DA291">
        <v>116</v>
      </c>
      <c r="DB291">
        <v>3</v>
      </c>
      <c r="DC291" t="s">
        <v>132</v>
      </c>
      <c r="DD291" t="s">
        <v>133</v>
      </c>
      <c r="DG291">
        <v>8241929</v>
      </c>
      <c r="DI291">
        <v>0</v>
      </c>
      <c r="DJ291">
        <v>0</v>
      </c>
      <c r="DK291">
        <v>1</v>
      </c>
      <c r="DL291">
        <v>0</v>
      </c>
      <c r="DM291">
        <v>0</v>
      </c>
      <c r="DN291">
        <v>0</v>
      </c>
      <c r="DO291">
        <v>0</v>
      </c>
      <c r="DP291">
        <v>1</v>
      </c>
      <c r="DQ291">
        <v>0</v>
      </c>
      <c r="DR291">
        <v>0</v>
      </c>
      <c r="DS291">
        <v>0</v>
      </c>
    </row>
    <row r="292" spans="1:123" x14ac:dyDescent="0.25">
      <c r="A292" t="str">
        <f>"11/29/2023 20:20:45.945"</f>
        <v>11/29/2023 20:20:45.945</v>
      </c>
      <c r="C292" t="str">
        <f t="shared" si="36"/>
        <v>FFDF53C0</v>
      </c>
      <c r="D292" t="s">
        <v>138</v>
      </c>
      <c r="E292">
        <v>3</v>
      </c>
      <c r="H292">
        <v>160</v>
      </c>
      <c r="I292" t="s">
        <v>124</v>
      </c>
      <c r="J292" t="s">
        <v>139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"20:20:45.602"</f>
        <v>20:20:45.602</v>
      </c>
      <c r="T292" t="str">
        <f>"20:20:45.202"</f>
        <v>20:20:45.202</v>
      </c>
      <c r="U292" t="str">
        <f t="shared" si="37"/>
        <v>AA0632</v>
      </c>
      <c r="V292">
        <v>0</v>
      </c>
      <c r="W292">
        <v>0</v>
      </c>
      <c r="X292">
        <v>2</v>
      </c>
      <c r="Y292">
        <v>0</v>
      </c>
      <c r="AA292">
        <v>0</v>
      </c>
      <c r="AB292">
        <v>9</v>
      </c>
      <c r="AC292">
        <v>3</v>
      </c>
      <c r="AD292">
        <v>0</v>
      </c>
      <c r="AE292">
        <v>10</v>
      </c>
      <c r="AF292" t="s">
        <v>126</v>
      </c>
      <c r="AG292">
        <v>0</v>
      </c>
      <c r="AH292">
        <v>0</v>
      </c>
      <c r="AI292">
        <v>2</v>
      </c>
      <c r="AJ292">
        <v>0</v>
      </c>
      <c r="AK292" t="s">
        <v>265</v>
      </c>
      <c r="AL292">
        <v>31.960816000000001</v>
      </c>
      <c r="AM292" t="s">
        <v>280</v>
      </c>
      <c r="AN292">
        <v>-101.131961</v>
      </c>
      <c r="AQ292" t="s">
        <v>129</v>
      </c>
      <c r="AR292">
        <v>88</v>
      </c>
      <c r="AS292">
        <v>-11</v>
      </c>
      <c r="AT292">
        <v>192</v>
      </c>
      <c r="BB292" t="str">
        <f t="shared" si="38"/>
        <v>1200</v>
      </c>
      <c r="BC292">
        <v>1</v>
      </c>
      <c r="BD292" t="str">
        <f t="shared" si="39"/>
        <v xml:space="preserve">N745MB  </v>
      </c>
      <c r="BE292">
        <v>1</v>
      </c>
      <c r="BG292">
        <v>0</v>
      </c>
      <c r="BH292">
        <v>0</v>
      </c>
      <c r="BI292">
        <v>0</v>
      </c>
      <c r="BL292" t="s">
        <v>130</v>
      </c>
      <c r="BM292">
        <v>1</v>
      </c>
      <c r="BN292">
        <v>0</v>
      </c>
      <c r="BO292">
        <v>0</v>
      </c>
      <c r="BP292">
        <v>0</v>
      </c>
      <c r="BT292">
        <v>0</v>
      </c>
      <c r="BU292">
        <v>0</v>
      </c>
      <c r="CE292" t="str">
        <f>"20:20:45.603"</f>
        <v>20:20:45.603</v>
      </c>
      <c r="CF292">
        <v>603453782</v>
      </c>
      <c r="CS292">
        <v>0</v>
      </c>
      <c r="CT292">
        <v>2</v>
      </c>
      <c r="CU292">
        <v>0</v>
      </c>
      <c r="CV292">
        <v>2</v>
      </c>
      <c r="CW292">
        <v>0</v>
      </c>
      <c r="CX292">
        <v>3</v>
      </c>
      <c r="CY292">
        <v>7</v>
      </c>
      <c r="CZ292" t="s">
        <v>131</v>
      </c>
      <c r="DA292">
        <v>116</v>
      </c>
      <c r="DB292">
        <v>3</v>
      </c>
      <c r="DC292" t="s">
        <v>132</v>
      </c>
      <c r="DD292" t="s">
        <v>133</v>
      </c>
      <c r="DG292">
        <v>8242478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1</v>
      </c>
      <c r="DQ292">
        <v>0</v>
      </c>
      <c r="DR292">
        <v>0</v>
      </c>
      <c r="DS292">
        <v>0</v>
      </c>
    </row>
    <row r="293" spans="1:123" x14ac:dyDescent="0.25">
      <c r="A293" t="str">
        <f>"11/29/2023 20:20:45.945"</f>
        <v>11/29/2023 20:20:45.945</v>
      </c>
      <c r="C293" t="str">
        <f t="shared" si="36"/>
        <v>FFDF53C0</v>
      </c>
      <c r="D293" t="s">
        <v>135</v>
      </c>
      <c r="E293">
        <v>31</v>
      </c>
      <c r="H293">
        <v>285</v>
      </c>
      <c r="I293" t="s">
        <v>136</v>
      </c>
      <c r="J293" t="s">
        <v>137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"20:20:45.602"</f>
        <v>20:20:45.602</v>
      </c>
      <c r="T293" t="str">
        <f>"20:20:45.202"</f>
        <v>20:20:45.202</v>
      </c>
      <c r="U293" t="str">
        <f t="shared" si="37"/>
        <v>AA0632</v>
      </c>
      <c r="V293">
        <v>0</v>
      </c>
      <c r="W293">
        <v>0</v>
      </c>
      <c r="X293">
        <v>2</v>
      </c>
      <c r="Y293">
        <v>0</v>
      </c>
      <c r="AA293">
        <v>0</v>
      </c>
      <c r="AB293">
        <v>9</v>
      </c>
      <c r="AC293">
        <v>3</v>
      </c>
      <c r="AD293">
        <v>0</v>
      </c>
      <c r="AE293">
        <v>10</v>
      </c>
      <c r="AF293" t="s">
        <v>126</v>
      </c>
      <c r="AG293">
        <v>0</v>
      </c>
      <c r="AH293">
        <v>0</v>
      </c>
      <c r="AI293">
        <v>2</v>
      </c>
      <c r="AJ293">
        <v>0</v>
      </c>
      <c r="AK293" t="s">
        <v>265</v>
      </c>
      <c r="AL293">
        <v>31.960816000000001</v>
      </c>
      <c r="AM293" t="s">
        <v>280</v>
      </c>
      <c r="AN293">
        <v>-101.131961</v>
      </c>
      <c r="AQ293" t="s">
        <v>129</v>
      </c>
      <c r="AR293">
        <v>88</v>
      </c>
      <c r="AS293">
        <v>-11</v>
      </c>
      <c r="AT293">
        <v>192</v>
      </c>
      <c r="BB293" t="str">
        <f t="shared" si="38"/>
        <v>1200</v>
      </c>
      <c r="BC293">
        <v>1</v>
      </c>
      <c r="BD293" t="str">
        <f t="shared" si="39"/>
        <v xml:space="preserve">N745MB  </v>
      </c>
      <c r="BE293">
        <v>1</v>
      </c>
      <c r="BG293">
        <v>0</v>
      </c>
      <c r="BH293">
        <v>0</v>
      </c>
      <c r="BI293">
        <v>0</v>
      </c>
      <c r="BL293" t="s">
        <v>130</v>
      </c>
      <c r="BM293">
        <v>1</v>
      </c>
      <c r="BN293">
        <v>0</v>
      </c>
      <c r="BO293">
        <v>0</v>
      </c>
      <c r="BP293">
        <v>0</v>
      </c>
      <c r="BT293">
        <v>0</v>
      </c>
      <c r="BU293">
        <v>0</v>
      </c>
      <c r="CE293" t="str">
        <f>"20:20:45.603"</f>
        <v>20:20:45.603</v>
      </c>
      <c r="CF293">
        <v>603453782</v>
      </c>
      <c r="CS293">
        <v>0</v>
      </c>
      <c r="CT293">
        <v>2</v>
      </c>
      <c r="CU293">
        <v>0</v>
      </c>
      <c r="CV293">
        <v>2</v>
      </c>
      <c r="CW293">
        <v>0</v>
      </c>
      <c r="CX293">
        <v>3</v>
      </c>
      <c r="CY293">
        <v>7</v>
      </c>
      <c r="CZ293" t="s">
        <v>131</v>
      </c>
      <c r="DA293">
        <v>116</v>
      </c>
      <c r="DB293">
        <v>3</v>
      </c>
      <c r="DC293" t="s">
        <v>132</v>
      </c>
      <c r="DD293" t="s">
        <v>133</v>
      </c>
      <c r="DG293">
        <v>8242478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1</v>
      </c>
      <c r="DQ293">
        <v>0</v>
      </c>
      <c r="DR293">
        <v>0</v>
      </c>
      <c r="DS293">
        <v>0</v>
      </c>
    </row>
    <row r="294" spans="1:123" x14ac:dyDescent="0.25">
      <c r="A294" t="str">
        <f>"11/29/2023 20:20:45.945"</f>
        <v>11/29/2023 20:20:45.945</v>
      </c>
      <c r="C294" t="str">
        <f t="shared" si="36"/>
        <v>FFDF53C0</v>
      </c>
      <c r="D294" t="s">
        <v>123</v>
      </c>
      <c r="E294">
        <v>1</v>
      </c>
      <c r="F294">
        <v>1001</v>
      </c>
      <c r="G294" t="s">
        <v>134</v>
      </c>
      <c r="J294" t="s">
        <v>125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"20:20:45.602"</f>
        <v>20:20:45.602</v>
      </c>
      <c r="T294" t="str">
        <f>"20:20:45.202"</f>
        <v>20:20:45.202</v>
      </c>
      <c r="U294" t="str">
        <f t="shared" si="37"/>
        <v>AA0632</v>
      </c>
      <c r="V294">
        <v>0</v>
      </c>
      <c r="W294">
        <v>0</v>
      </c>
      <c r="X294">
        <v>2</v>
      </c>
      <c r="Y294">
        <v>0</v>
      </c>
      <c r="AA294">
        <v>0</v>
      </c>
      <c r="AB294">
        <v>9</v>
      </c>
      <c r="AC294">
        <v>3</v>
      </c>
      <c r="AD294">
        <v>0</v>
      </c>
      <c r="AE294">
        <v>10</v>
      </c>
      <c r="AF294" t="s">
        <v>126</v>
      </c>
      <c r="AG294">
        <v>0</v>
      </c>
      <c r="AH294">
        <v>0</v>
      </c>
      <c r="AI294">
        <v>2</v>
      </c>
      <c r="AJ294">
        <v>0</v>
      </c>
      <c r="AK294" t="s">
        <v>265</v>
      </c>
      <c r="AL294">
        <v>31.960816000000001</v>
      </c>
      <c r="AM294" t="s">
        <v>280</v>
      </c>
      <c r="AN294">
        <v>-101.131961</v>
      </c>
      <c r="AQ294" t="s">
        <v>129</v>
      </c>
      <c r="AR294">
        <v>88</v>
      </c>
      <c r="AS294">
        <v>-11</v>
      </c>
      <c r="AT294">
        <v>192</v>
      </c>
      <c r="BB294" t="str">
        <f t="shared" si="38"/>
        <v>1200</v>
      </c>
      <c r="BC294">
        <v>1</v>
      </c>
      <c r="BD294" t="str">
        <f t="shared" si="39"/>
        <v xml:space="preserve">N745MB  </v>
      </c>
      <c r="BE294">
        <v>1</v>
      </c>
      <c r="BG294">
        <v>0</v>
      </c>
      <c r="BH294">
        <v>0</v>
      </c>
      <c r="BI294">
        <v>0</v>
      </c>
      <c r="BL294" t="s">
        <v>130</v>
      </c>
      <c r="BM294">
        <v>1</v>
      </c>
      <c r="BN294">
        <v>0</v>
      </c>
      <c r="BO294">
        <v>0</v>
      </c>
      <c r="BP294">
        <v>0</v>
      </c>
      <c r="BT294">
        <v>0</v>
      </c>
      <c r="BU294">
        <v>0</v>
      </c>
      <c r="CE294" t="str">
        <f>"20:20:45.603"</f>
        <v>20:20:45.603</v>
      </c>
      <c r="CF294">
        <v>603453782</v>
      </c>
      <c r="CS294">
        <v>0</v>
      </c>
      <c r="CT294">
        <v>2</v>
      </c>
      <c r="CU294">
        <v>0</v>
      </c>
      <c r="CV294">
        <v>2</v>
      </c>
      <c r="CW294">
        <v>0</v>
      </c>
      <c r="CX294">
        <v>3</v>
      </c>
      <c r="CY294">
        <v>7</v>
      </c>
      <c r="CZ294" t="s">
        <v>131</v>
      </c>
      <c r="DA294">
        <v>116</v>
      </c>
      <c r="DB294">
        <v>3</v>
      </c>
      <c r="DC294" t="s">
        <v>132</v>
      </c>
      <c r="DD294" t="s">
        <v>133</v>
      </c>
      <c r="DG294">
        <v>8242478</v>
      </c>
      <c r="DI294">
        <v>0</v>
      </c>
      <c r="DJ294">
        <v>0</v>
      </c>
      <c r="DK294">
        <v>1</v>
      </c>
      <c r="DL294">
        <v>0</v>
      </c>
      <c r="DM294">
        <v>0</v>
      </c>
      <c r="DN294">
        <v>0</v>
      </c>
      <c r="DO294">
        <v>0</v>
      </c>
      <c r="DP294">
        <v>1</v>
      </c>
      <c r="DQ294">
        <v>0</v>
      </c>
      <c r="DR294">
        <v>0</v>
      </c>
      <c r="DS294">
        <v>0</v>
      </c>
    </row>
    <row r="295" spans="1:123" x14ac:dyDescent="0.25">
      <c r="A295" t="str">
        <f>"11/29/2023 20:20:45.945"</f>
        <v>11/29/2023 20:20:45.945</v>
      </c>
      <c r="C295" t="str">
        <f t="shared" ref="C295:C358" si="41">"FFDF53C0"</f>
        <v>FFDF53C0</v>
      </c>
      <c r="D295" t="s">
        <v>123</v>
      </c>
      <c r="E295">
        <v>14</v>
      </c>
      <c r="F295">
        <v>1014</v>
      </c>
      <c r="G295" t="s">
        <v>124</v>
      </c>
      <c r="J295" t="s">
        <v>125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"20:20:45.602"</f>
        <v>20:20:45.602</v>
      </c>
      <c r="T295" t="str">
        <f>"20:20:45.202"</f>
        <v>20:20:45.202</v>
      </c>
      <c r="U295" t="str">
        <f t="shared" si="37"/>
        <v>AA0632</v>
      </c>
      <c r="V295">
        <v>0</v>
      </c>
      <c r="W295">
        <v>0</v>
      </c>
      <c r="X295">
        <v>2</v>
      </c>
      <c r="Y295">
        <v>0</v>
      </c>
      <c r="AA295">
        <v>0</v>
      </c>
      <c r="AB295">
        <v>9</v>
      </c>
      <c r="AC295">
        <v>3</v>
      </c>
      <c r="AD295">
        <v>0</v>
      </c>
      <c r="AE295">
        <v>10</v>
      </c>
      <c r="AF295" t="s">
        <v>126</v>
      </c>
      <c r="AG295">
        <v>0</v>
      </c>
      <c r="AH295">
        <v>0</v>
      </c>
      <c r="AI295">
        <v>2</v>
      </c>
      <c r="AJ295">
        <v>0</v>
      </c>
      <c r="AK295" t="s">
        <v>265</v>
      </c>
      <c r="AL295">
        <v>31.960816000000001</v>
      </c>
      <c r="AM295" t="s">
        <v>280</v>
      </c>
      <c r="AN295">
        <v>-101.131961</v>
      </c>
      <c r="AQ295" t="s">
        <v>129</v>
      </c>
      <c r="AR295">
        <v>88</v>
      </c>
      <c r="AS295">
        <v>-11</v>
      </c>
      <c r="AT295">
        <v>192</v>
      </c>
      <c r="BB295" t="str">
        <f t="shared" si="38"/>
        <v>1200</v>
      </c>
      <c r="BC295">
        <v>1</v>
      </c>
      <c r="BD295" t="str">
        <f t="shared" si="39"/>
        <v xml:space="preserve">N745MB  </v>
      </c>
      <c r="BE295">
        <v>1</v>
      </c>
      <c r="BG295">
        <v>0</v>
      </c>
      <c r="BH295">
        <v>0</v>
      </c>
      <c r="BI295">
        <v>0</v>
      </c>
      <c r="BL295" t="s">
        <v>130</v>
      </c>
      <c r="BM295">
        <v>1</v>
      </c>
      <c r="BN295">
        <v>0</v>
      </c>
      <c r="BO295">
        <v>0</v>
      </c>
      <c r="BP295">
        <v>0</v>
      </c>
      <c r="BT295">
        <v>0</v>
      </c>
      <c r="BU295">
        <v>0</v>
      </c>
      <c r="CE295" t="str">
        <f>"20:20:45.603"</f>
        <v>20:20:45.603</v>
      </c>
      <c r="CF295">
        <v>603453782</v>
      </c>
      <c r="CS295">
        <v>0</v>
      </c>
      <c r="CT295">
        <v>2</v>
      </c>
      <c r="CU295">
        <v>0</v>
      </c>
      <c r="CV295">
        <v>2</v>
      </c>
      <c r="CW295">
        <v>0</v>
      </c>
      <c r="CX295">
        <v>3</v>
      </c>
      <c r="CY295">
        <v>7</v>
      </c>
      <c r="CZ295" t="s">
        <v>131</v>
      </c>
      <c r="DA295">
        <v>116</v>
      </c>
      <c r="DB295">
        <v>3</v>
      </c>
      <c r="DC295" t="s">
        <v>132</v>
      </c>
      <c r="DD295" t="s">
        <v>133</v>
      </c>
      <c r="DG295">
        <v>8242478</v>
      </c>
      <c r="DI295">
        <v>0</v>
      </c>
      <c r="DJ295">
        <v>0</v>
      </c>
      <c r="DK295">
        <v>1</v>
      </c>
      <c r="DL295">
        <v>0</v>
      </c>
      <c r="DM295">
        <v>0</v>
      </c>
      <c r="DN295">
        <v>0</v>
      </c>
      <c r="DO295">
        <v>0</v>
      </c>
      <c r="DP295">
        <v>1</v>
      </c>
      <c r="DQ295">
        <v>0</v>
      </c>
      <c r="DR295">
        <v>0</v>
      </c>
      <c r="DS295">
        <v>0</v>
      </c>
    </row>
    <row r="296" spans="1:123" x14ac:dyDescent="0.25">
      <c r="A296" t="str">
        <f>"11/29/2023 20:20:46.929"</f>
        <v>11/29/2023 20:20:46.929</v>
      </c>
      <c r="C296" t="str">
        <f t="shared" si="41"/>
        <v>FFDF53C0</v>
      </c>
      <c r="D296" t="s">
        <v>123</v>
      </c>
      <c r="E296">
        <v>1</v>
      </c>
      <c r="F296">
        <v>1001</v>
      </c>
      <c r="G296" t="s">
        <v>134</v>
      </c>
      <c r="J296" t="s">
        <v>125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"20:20:46.617"</f>
        <v>20:20:46.617</v>
      </c>
      <c r="T296" t="str">
        <f>"20:20:46.217"</f>
        <v>20:20:46.217</v>
      </c>
      <c r="U296" t="str">
        <f t="shared" si="37"/>
        <v>AA0632</v>
      </c>
      <c r="V296">
        <v>0</v>
      </c>
      <c r="W296">
        <v>0</v>
      </c>
      <c r="X296">
        <v>2</v>
      </c>
      <c r="Y296">
        <v>0</v>
      </c>
      <c r="AA296">
        <v>0</v>
      </c>
      <c r="AB296">
        <v>9</v>
      </c>
      <c r="AC296">
        <v>3</v>
      </c>
      <c r="AD296">
        <v>0</v>
      </c>
      <c r="AE296">
        <v>10</v>
      </c>
      <c r="AF296" t="s">
        <v>126</v>
      </c>
      <c r="AG296">
        <v>0</v>
      </c>
      <c r="AH296">
        <v>0</v>
      </c>
      <c r="AI296">
        <v>2</v>
      </c>
      <c r="AJ296">
        <v>0</v>
      </c>
      <c r="AK296" t="s">
        <v>281</v>
      </c>
      <c r="AL296">
        <v>31.960730999999999</v>
      </c>
      <c r="AM296" t="s">
        <v>282</v>
      </c>
      <c r="AN296">
        <v>-101.131511</v>
      </c>
      <c r="AQ296" t="s">
        <v>129</v>
      </c>
      <c r="AR296">
        <v>88</v>
      </c>
      <c r="AS296">
        <v>-14</v>
      </c>
      <c r="AT296">
        <v>0</v>
      </c>
      <c r="BB296" t="str">
        <f t="shared" si="38"/>
        <v>1200</v>
      </c>
      <c r="BC296">
        <v>1</v>
      </c>
      <c r="BD296" t="str">
        <f t="shared" si="39"/>
        <v xml:space="preserve">N745MB  </v>
      </c>
      <c r="BE296">
        <v>1</v>
      </c>
      <c r="BG296">
        <v>0</v>
      </c>
      <c r="BH296">
        <v>0</v>
      </c>
      <c r="BI296">
        <v>0</v>
      </c>
      <c r="BL296" t="s">
        <v>130</v>
      </c>
      <c r="BM296">
        <v>1</v>
      </c>
      <c r="BN296">
        <v>0</v>
      </c>
      <c r="BO296">
        <v>0</v>
      </c>
      <c r="BP296">
        <v>0</v>
      </c>
      <c r="BT296">
        <v>0</v>
      </c>
      <c r="BU296">
        <v>0</v>
      </c>
      <c r="CE296" t="str">
        <f>"20:20:46.619"</f>
        <v>20:20:46.619</v>
      </c>
      <c r="CF296">
        <v>619384528</v>
      </c>
      <c r="CS296">
        <v>0</v>
      </c>
      <c r="CT296">
        <v>2</v>
      </c>
      <c r="CU296">
        <v>0</v>
      </c>
      <c r="CV296">
        <v>2</v>
      </c>
      <c r="CW296">
        <v>0</v>
      </c>
      <c r="CX296">
        <v>2</v>
      </c>
      <c r="CY296">
        <v>7</v>
      </c>
      <c r="CZ296" t="s">
        <v>131</v>
      </c>
      <c r="DA296">
        <v>116</v>
      </c>
      <c r="DB296">
        <v>3</v>
      </c>
      <c r="DC296" t="s">
        <v>132</v>
      </c>
      <c r="DD296" t="s">
        <v>133</v>
      </c>
      <c r="DG296">
        <v>8243051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1</v>
      </c>
      <c r="DQ296">
        <v>0</v>
      </c>
      <c r="DR296">
        <v>0</v>
      </c>
      <c r="DS296">
        <v>0</v>
      </c>
    </row>
    <row r="297" spans="1:123" x14ac:dyDescent="0.25">
      <c r="A297" t="str">
        <f>"11/29/2023 20:20:46.929"</f>
        <v>11/29/2023 20:20:46.929</v>
      </c>
      <c r="C297" t="str">
        <f t="shared" si="41"/>
        <v>FFDF53C0</v>
      </c>
      <c r="D297" t="s">
        <v>123</v>
      </c>
      <c r="E297">
        <v>14</v>
      </c>
      <c r="F297">
        <v>1014</v>
      </c>
      <c r="G297" t="s">
        <v>124</v>
      </c>
      <c r="J297" t="s">
        <v>125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"20:20:46.617"</f>
        <v>20:20:46.617</v>
      </c>
      <c r="T297" t="str">
        <f>"20:20:46.217"</f>
        <v>20:20:46.217</v>
      </c>
      <c r="U297" t="str">
        <f t="shared" si="37"/>
        <v>AA0632</v>
      </c>
      <c r="V297">
        <v>0</v>
      </c>
      <c r="W297">
        <v>0</v>
      </c>
      <c r="X297">
        <v>2</v>
      </c>
      <c r="Y297">
        <v>0</v>
      </c>
      <c r="AA297">
        <v>0</v>
      </c>
      <c r="AB297">
        <v>9</v>
      </c>
      <c r="AC297">
        <v>3</v>
      </c>
      <c r="AD297">
        <v>0</v>
      </c>
      <c r="AE297">
        <v>10</v>
      </c>
      <c r="AF297" t="s">
        <v>126</v>
      </c>
      <c r="AG297">
        <v>0</v>
      </c>
      <c r="AH297">
        <v>0</v>
      </c>
      <c r="AI297">
        <v>2</v>
      </c>
      <c r="AJ297">
        <v>0</v>
      </c>
      <c r="AK297" t="s">
        <v>281</v>
      </c>
      <c r="AL297">
        <v>31.960730999999999</v>
      </c>
      <c r="AM297" t="s">
        <v>282</v>
      </c>
      <c r="AN297">
        <v>-101.131511</v>
      </c>
      <c r="AQ297" t="s">
        <v>129</v>
      </c>
      <c r="AR297">
        <v>88</v>
      </c>
      <c r="AS297">
        <v>-14</v>
      </c>
      <c r="AT297">
        <v>0</v>
      </c>
      <c r="BB297" t="str">
        <f t="shared" si="38"/>
        <v>1200</v>
      </c>
      <c r="BC297">
        <v>1</v>
      </c>
      <c r="BD297" t="str">
        <f t="shared" si="39"/>
        <v xml:space="preserve">N745MB  </v>
      </c>
      <c r="BE297">
        <v>1</v>
      </c>
      <c r="BG297">
        <v>0</v>
      </c>
      <c r="BH297">
        <v>0</v>
      </c>
      <c r="BI297">
        <v>0</v>
      </c>
      <c r="BL297" t="s">
        <v>130</v>
      </c>
      <c r="BM297">
        <v>1</v>
      </c>
      <c r="BN297">
        <v>0</v>
      </c>
      <c r="BO297">
        <v>0</v>
      </c>
      <c r="BP297">
        <v>0</v>
      </c>
      <c r="BT297">
        <v>0</v>
      </c>
      <c r="BU297">
        <v>0</v>
      </c>
      <c r="CE297" t="str">
        <f>"20:20:46.619"</f>
        <v>20:20:46.619</v>
      </c>
      <c r="CF297">
        <v>619384528</v>
      </c>
      <c r="CS297">
        <v>0</v>
      </c>
      <c r="CT297">
        <v>2</v>
      </c>
      <c r="CU297">
        <v>0</v>
      </c>
      <c r="CV297">
        <v>2</v>
      </c>
      <c r="CW297">
        <v>0</v>
      </c>
      <c r="CX297">
        <v>2</v>
      </c>
      <c r="CY297">
        <v>7</v>
      </c>
      <c r="CZ297" t="s">
        <v>131</v>
      </c>
      <c r="DA297">
        <v>116</v>
      </c>
      <c r="DB297">
        <v>3</v>
      </c>
      <c r="DC297" t="s">
        <v>132</v>
      </c>
      <c r="DD297" t="s">
        <v>133</v>
      </c>
      <c r="DG297">
        <v>8243051</v>
      </c>
      <c r="DI297">
        <v>0</v>
      </c>
      <c r="DJ297">
        <v>0</v>
      </c>
      <c r="DK297">
        <v>1</v>
      </c>
      <c r="DL297">
        <v>0</v>
      </c>
      <c r="DM297">
        <v>0</v>
      </c>
      <c r="DN297">
        <v>0</v>
      </c>
      <c r="DO297">
        <v>0</v>
      </c>
      <c r="DP297">
        <v>1</v>
      </c>
      <c r="DQ297">
        <v>0</v>
      </c>
      <c r="DR297">
        <v>0</v>
      </c>
      <c r="DS297">
        <v>0</v>
      </c>
    </row>
    <row r="298" spans="1:123" x14ac:dyDescent="0.25">
      <c r="A298" t="str">
        <f>"11/29/2023 20:20:46.929"</f>
        <v>11/29/2023 20:20:46.929</v>
      </c>
      <c r="C298" t="str">
        <f t="shared" si="41"/>
        <v>FFDF53C0</v>
      </c>
      <c r="D298" t="s">
        <v>138</v>
      </c>
      <c r="E298">
        <v>3</v>
      </c>
      <c r="H298">
        <v>160</v>
      </c>
      <c r="I298" t="s">
        <v>124</v>
      </c>
      <c r="J298" t="s">
        <v>139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"20:20:46.617"</f>
        <v>20:20:46.617</v>
      </c>
      <c r="T298" t="str">
        <f>"20:20:46.217"</f>
        <v>20:20:46.217</v>
      </c>
      <c r="U298" t="str">
        <f t="shared" si="37"/>
        <v>AA0632</v>
      </c>
      <c r="V298">
        <v>0</v>
      </c>
      <c r="W298">
        <v>0</v>
      </c>
      <c r="X298">
        <v>2</v>
      </c>
      <c r="Y298">
        <v>0</v>
      </c>
      <c r="AA298">
        <v>0</v>
      </c>
      <c r="AB298">
        <v>9</v>
      </c>
      <c r="AC298">
        <v>3</v>
      </c>
      <c r="AD298">
        <v>0</v>
      </c>
      <c r="AE298">
        <v>10</v>
      </c>
      <c r="AF298" t="s">
        <v>126</v>
      </c>
      <c r="AG298">
        <v>0</v>
      </c>
      <c r="AH298">
        <v>0</v>
      </c>
      <c r="AI298">
        <v>2</v>
      </c>
      <c r="AJ298">
        <v>0</v>
      </c>
      <c r="AK298" t="s">
        <v>281</v>
      </c>
      <c r="AL298">
        <v>31.960730999999999</v>
      </c>
      <c r="AM298" t="s">
        <v>282</v>
      </c>
      <c r="AN298">
        <v>-101.131511</v>
      </c>
      <c r="AQ298" t="s">
        <v>129</v>
      </c>
      <c r="AR298">
        <v>88</v>
      </c>
      <c r="AS298">
        <v>-14</v>
      </c>
      <c r="AT298">
        <v>0</v>
      </c>
      <c r="BB298" t="str">
        <f t="shared" si="38"/>
        <v>1200</v>
      </c>
      <c r="BC298">
        <v>1</v>
      </c>
      <c r="BD298" t="str">
        <f t="shared" si="39"/>
        <v xml:space="preserve">N745MB  </v>
      </c>
      <c r="BE298">
        <v>1</v>
      </c>
      <c r="BG298">
        <v>0</v>
      </c>
      <c r="BH298">
        <v>0</v>
      </c>
      <c r="BI298">
        <v>0</v>
      </c>
      <c r="BL298" t="s">
        <v>130</v>
      </c>
      <c r="BM298">
        <v>1</v>
      </c>
      <c r="BN298">
        <v>0</v>
      </c>
      <c r="BO298">
        <v>0</v>
      </c>
      <c r="BP298">
        <v>0</v>
      </c>
      <c r="BT298">
        <v>0</v>
      </c>
      <c r="BU298">
        <v>0</v>
      </c>
      <c r="CE298" t="str">
        <f>"20:20:46.619"</f>
        <v>20:20:46.619</v>
      </c>
      <c r="CF298">
        <v>619384528</v>
      </c>
      <c r="CS298">
        <v>0</v>
      </c>
      <c r="CT298">
        <v>2</v>
      </c>
      <c r="CU298">
        <v>0</v>
      </c>
      <c r="CV298">
        <v>2</v>
      </c>
      <c r="CW298">
        <v>0</v>
      </c>
      <c r="CX298">
        <v>2</v>
      </c>
      <c r="CY298">
        <v>7</v>
      </c>
      <c r="CZ298" t="s">
        <v>131</v>
      </c>
      <c r="DA298">
        <v>116</v>
      </c>
      <c r="DB298">
        <v>3</v>
      </c>
      <c r="DC298" t="s">
        <v>132</v>
      </c>
      <c r="DD298" t="s">
        <v>133</v>
      </c>
      <c r="DG298">
        <v>8243051</v>
      </c>
      <c r="DI298">
        <v>0</v>
      </c>
      <c r="DJ298">
        <v>0</v>
      </c>
      <c r="DK298">
        <v>1</v>
      </c>
      <c r="DL298">
        <v>0</v>
      </c>
      <c r="DM298">
        <v>0</v>
      </c>
      <c r="DN298">
        <v>0</v>
      </c>
      <c r="DO298">
        <v>0</v>
      </c>
      <c r="DP298">
        <v>1</v>
      </c>
      <c r="DQ298">
        <v>0</v>
      </c>
      <c r="DR298">
        <v>0</v>
      </c>
      <c r="DS298">
        <v>0</v>
      </c>
    </row>
    <row r="299" spans="1:123" x14ac:dyDescent="0.25">
      <c r="A299" t="str">
        <f>"11/29/2023 20:20:46.929"</f>
        <v>11/29/2023 20:20:46.929</v>
      </c>
      <c r="C299" t="str">
        <f t="shared" si="41"/>
        <v>FFDF53C0</v>
      </c>
      <c r="D299" t="s">
        <v>135</v>
      </c>
      <c r="E299">
        <v>31</v>
      </c>
      <c r="H299">
        <v>285</v>
      </c>
      <c r="I299" t="s">
        <v>136</v>
      </c>
      <c r="J299" t="s">
        <v>137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"20:20:46.617"</f>
        <v>20:20:46.617</v>
      </c>
      <c r="T299" t="str">
        <f>"20:20:46.217"</f>
        <v>20:20:46.217</v>
      </c>
      <c r="U299" t="str">
        <f t="shared" si="37"/>
        <v>AA0632</v>
      </c>
      <c r="V299">
        <v>0</v>
      </c>
      <c r="W299">
        <v>0</v>
      </c>
      <c r="X299">
        <v>2</v>
      </c>
      <c r="Y299">
        <v>0</v>
      </c>
      <c r="AA299">
        <v>0</v>
      </c>
      <c r="AB299">
        <v>9</v>
      </c>
      <c r="AC299">
        <v>3</v>
      </c>
      <c r="AD299">
        <v>0</v>
      </c>
      <c r="AE299">
        <v>10</v>
      </c>
      <c r="AF299" t="s">
        <v>126</v>
      </c>
      <c r="AG299">
        <v>0</v>
      </c>
      <c r="AH299">
        <v>0</v>
      </c>
      <c r="AI299">
        <v>2</v>
      </c>
      <c r="AJ299">
        <v>0</v>
      </c>
      <c r="AK299" t="s">
        <v>281</v>
      </c>
      <c r="AL299">
        <v>31.960730999999999</v>
      </c>
      <c r="AM299" t="s">
        <v>282</v>
      </c>
      <c r="AN299">
        <v>-101.131511</v>
      </c>
      <c r="AQ299" t="s">
        <v>129</v>
      </c>
      <c r="AR299">
        <v>88</v>
      </c>
      <c r="AS299">
        <v>-14</v>
      </c>
      <c r="AT299">
        <v>0</v>
      </c>
      <c r="BB299" t="str">
        <f t="shared" si="38"/>
        <v>1200</v>
      </c>
      <c r="BC299">
        <v>1</v>
      </c>
      <c r="BD299" t="str">
        <f t="shared" si="39"/>
        <v xml:space="preserve">N745MB  </v>
      </c>
      <c r="BE299">
        <v>1</v>
      </c>
      <c r="BG299">
        <v>0</v>
      </c>
      <c r="BH299">
        <v>0</v>
      </c>
      <c r="BI299">
        <v>0</v>
      </c>
      <c r="BL299" t="s">
        <v>130</v>
      </c>
      <c r="BM299">
        <v>1</v>
      </c>
      <c r="BN299">
        <v>0</v>
      </c>
      <c r="BO299">
        <v>0</v>
      </c>
      <c r="BP299">
        <v>0</v>
      </c>
      <c r="BT299">
        <v>0</v>
      </c>
      <c r="BU299">
        <v>0</v>
      </c>
      <c r="CE299" t="str">
        <f>"20:20:46.619"</f>
        <v>20:20:46.619</v>
      </c>
      <c r="CF299">
        <v>619384528</v>
      </c>
      <c r="CS299">
        <v>0</v>
      </c>
      <c r="CT299">
        <v>2</v>
      </c>
      <c r="CU299">
        <v>0</v>
      </c>
      <c r="CV299">
        <v>2</v>
      </c>
      <c r="CW299">
        <v>0</v>
      </c>
      <c r="CX299">
        <v>2</v>
      </c>
      <c r="CY299">
        <v>7</v>
      </c>
      <c r="CZ299" t="s">
        <v>131</v>
      </c>
      <c r="DA299">
        <v>116</v>
      </c>
      <c r="DB299">
        <v>3</v>
      </c>
      <c r="DC299" t="s">
        <v>132</v>
      </c>
      <c r="DD299" t="s">
        <v>133</v>
      </c>
      <c r="DG299">
        <v>8243051</v>
      </c>
      <c r="DI299">
        <v>0</v>
      </c>
      <c r="DJ299">
        <v>0</v>
      </c>
      <c r="DK299">
        <v>1</v>
      </c>
      <c r="DL299">
        <v>0</v>
      </c>
      <c r="DM299">
        <v>0</v>
      </c>
      <c r="DN299">
        <v>0</v>
      </c>
      <c r="DO299">
        <v>0</v>
      </c>
      <c r="DP299">
        <v>1</v>
      </c>
      <c r="DQ299">
        <v>0</v>
      </c>
      <c r="DR299">
        <v>0</v>
      </c>
      <c r="DS299">
        <v>0</v>
      </c>
    </row>
    <row r="300" spans="1:123" x14ac:dyDescent="0.25">
      <c r="A300" t="str">
        <f>"11/29/2023 20:20:49.101"</f>
        <v>11/29/2023 20:20:49.101</v>
      </c>
      <c r="C300" t="str">
        <f t="shared" si="41"/>
        <v>FFDF53C0</v>
      </c>
      <c r="D300" t="s">
        <v>123</v>
      </c>
      <c r="E300">
        <v>14</v>
      </c>
      <c r="F300">
        <v>1014</v>
      </c>
      <c r="G300" t="s">
        <v>124</v>
      </c>
      <c r="J300" t="s">
        <v>125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"20:20:48.531"</f>
        <v>20:20:48.531</v>
      </c>
      <c r="T300" t="str">
        <f>"20:20:48.331"</f>
        <v>20:20:48.331</v>
      </c>
      <c r="U300" t="str">
        <f t="shared" si="37"/>
        <v>AA0632</v>
      </c>
      <c r="V300">
        <v>0</v>
      </c>
      <c r="W300">
        <v>0</v>
      </c>
      <c r="X300">
        <v>2</v>
      </c>
      <c r="Y300">
        <v>0</v>
      </c>
      <c r="AA300">
        <v>0</v>
      </c>
      <c r="AB300">
        <v>9</v>
      </c>
      <c r="AC300">
        <v>3</v>
      </c>
      <c r="AD300">
        <v>0</v>
      </c>
      <c r="AE300">
        <v>10</v>
      </c>
      <c r="AF300" t="s">
        <v>126</v>
      </c>
      <c r="AG300">
        <v>0</v>
      </c>
      <c r="AH300">
        <v>0</v>
      </c>
      <c r="AI300">
        <v>2</v>
      </c>
      <c r="AJ300">
        <v>0</v>
      </c>
      <c r="AK300" t="s">
        <v>253</v>
      </c>
      <c r="AL300">
        <v>31.96058</v>
      </c>
      <c r="AM300" t="s">
        <v>283</v>
      </c>
      <c r="AN300">
        <v>-101.13061</v>
      </c>
      <c r="AQ300" t="s">
        <v>129</v>
      </c>
      <c r="AR300">
        <v>87</v>
      </c>
      <c r="AS300">
        <v>-20</v>
      </c>
      <c r="AT300">
        <v>-64</v>
      </c>
      <c r="BB300" t="str">
        <f t="shared" si="38"/>
        <v>1200</v>
      </c>
      <c r="BC300">
        <v>1</v>
      </c>
      <c r="BD300" t="str">
        <f t="shared" si="39"/>
        <v xml:space="preserve">N745MB  </v>
      </c>
      <c r="BE300">
        <v>1</v>
      </c>
      <c r="BG300">
        <v>0</v>
      </c>
      <c r="BH300">
        <v>0</v>
      </c>
      <c r="BI300">
        <v>0</v>
      </c>
      <c r="BL300" t="s">
        <v>130</v>
      </c>
      <c r="BM300">
        <v>1</v>
      </c>
      <c r="BN300">
        <v>0</v>
      </c>
      <c r="BO300">
        <v>0</v>
      </c>
      <c r="BP300">
        <v>0</v>
      </c>
      <c r="BT300">
        <v>0</v>
      </c>
      <c r="BU300">
        <v>0</v>
      </c>
      <c r="CE300" t="str">
        <f>"20:20:48.533"</f>
        <v>20:20:48.533</v>
      </c>
      <c r="CF300">
        <v>533252060</v>
      </c>
      <c r="CS300">
        <v>0</v>
      </c>
      <c r="CT300">
        <v>2</v>
      </c>
      <c r="CU300">
        <v>0</v>
      </c>
      <c r="CV300">
        <v>2</v>
      </c>
      <c r="CW300">
        <v>0</v>
      </c>
      <c r="CX300">
        <v>1</v>
      </c>
      <c r="CY300">
        <v>7</v>
      </c>
      <c r="CZ300" t="s">
        <v>131</v>
      </c>
      <c r="DA300">
        <v>116</v>
      </c>
      <c r="DB300">
        <v>3</v>
      </c>
      <c r="DC300" t="s">
        <v>132</v>
      </c>
      <c r="DD300" t="s">
        <v>133</v>
      </c>
      <c r="DG300">
        <v>8244204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1</v>
      </c>
      <c r="DQ300">
        <v>0</v>
      </c>
      <c r="DR300">
        <v>0</v>
      </c>
      <c r="DS300">
        <v>0</v>
      </c>
    </row>
    <row r="301" spans="1:123" x14ac:dyDescent="0.25">
      <c r="A301" t="str">
        <f>"11/29/2023 20:20:49.117"</f>
        <v>11/29/2023 20:20:49.117</v>
      </c>
      <c r="C301" t="str">
        <f t="shared" si="41"/>
        <v>FFDF53C0</v>
      </c>
      <c r="D301" t="s">
        <v>138</v>
      </c>
      <c r="E301">
        <v>3</v>
      </c>
      <c r="H301">
        <v>160</v>
      </c>
      <c r="I301" t="s">
        <v>124</v>
      </c>
      <c r="J301" t="s">
        <v>139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"20:20:48.531"</f>
        <v>20:20:48.531</v>
      </c>
      <c r="T301" t="str">
        <f>"20:20:48.331"</f>
        <v>20:20:48.331</v>
      </c>
      <c r="U301" t="str">
        <f t="shared" si="37"/>
        <v>AA0632</v>
      </c>
      <c r="V301">
        <v>0</v>
      </c>
      <c r="W301">
        <v>0</v>
      </c>
      <c r="X301">
        <v>2</v>
      </c>
      <c r="Y301">
        <v>0</v>
      </c>
      <c r="AA301">
        <v>0</v>
      </c>
      <c r="AB301">
        <v>9</v>
      </c>
      <c r="AC301">
        <v>3</v>
      </c>
      <c r="AD301">
        <v>0</v>
      </c>
      <c r="AE301">
        <v>10</v>
      </c>
      <c r="AF301" t="s">
        <v>126</v>
      </c>
      <c r="AG301">
        <v>0</v>
      </c>
      <c r="AH301">
        <v>0</v>
      </c>
      <c r="AI301">
        <v>2</v>
      </c>
      <c r="AJ301">
        <v>0</v>
      </c>
      <c r="AK301" t="s">
        <v>253</v>
      </c>
      <c r="AL301">
        <v>31.96058</v>
      </c>
      <c r="AM301" t="s">
        <v>283</v>
      </c>
      <c r="AN301">
        <v>-101.13061</v>
      </c>
      <c r="AQ301" t="s">
        <v>129</v>
      </c>
      <c r="AR301">
        <v>87</v>
      </c>
      <c r="AS301">
        <v>-20</v>
      </c>
      <c r="AT301">
        <v>-64</v>
      </c>
      <c r="BB301" t="str">
        <f t="shared" si="38"/>
        <v>1200</v>
      </c>
      <c r="BC301">
        <v>1</v>
      </c>
      <c r="BD301" t="str">
        <f t="shared" si="39"/>
        <v xml:space="preserve">N745MB  </v>
      </c>
      <c r="BE301">
        <v>1</v>
      </c>
      <c r="BG301">
        <v>0</v>
      </c>
      <c r="BH301">
        <v>0</v>
      </c>
      <c r="BI301">
        <v>0</v>
      </c>
      <c r="BL301" t="s">
        <v>130</v>
      </c>
      <c r="BM301">
        <v>1</v>
      </c>
      <c r="BN301">
        <v>0</v>
      </c>
      <c r="BO301">
        <v>0</v>
      </c>
      <c r="BP301">
        <v>0</v>
      </c>
      <c r="BT301">
        <v>0</v>
      </c>
      <c r="BU301">
        <v>0</v>
      </c>
      <c r="CE301" t="str">
        <f>"20:20:48.533"</f>
        <v>20:20:48.533</v>
      </c>
      <c r="CF301">
        <v>533252060</v>
      </c>
      <c r="CS301">
        <v>0</v>
      </c>
      <c r="CT301">
        <v>2</v>
      </c>
      <c r="CU301">
        <v>0</v>
      </c>
      <c r="CV301">
        <v>2</v>
      </c>
      <c r="CW301">
        <v>0</v>
      </c>
      <c r="CX301">
        <v>1</v>
      </c>
      <c r="CY301">
        <v>7</v>
      </c>
      <c r="CZ301" t="s">
        <v>131</v>
      </c>
      <c r="DA301">
        <v>116</v>
      </c>
      <c r="DB301">
        <v>3</v>
      </c>
      <c r="DC301" t="s">
        <v>132</v>
      </c>
      <c r="DD301" t="s">
        <v>133</v>
      </c>
      <c r="DG301">
        <v>8244204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1</v>
      </c>
      <c r="DQ301">
        <v>0</v>
      </c>
      <c r="DR301">
        <v>0</v>
      </c>
      <c r="DS301">
        <v>0</v>
      </c>
    </row>
    <row r="302" spans="1:123" x14ac:dyDescent="0.25">
      <c r="A302" t="str">
        <f>"11/29/2023 20:20:49.117"</f>
        <v>11/29/2023 20:20:49.117</v>
      </c>
      <c r="C302" t="str">
        <f t="shared" si="41"/>
        <v>FFDF53C0</v>
      </c>
      <c r="D302" t="s">
        <v>135</v>
      </c>
      <c r="E302">
        <v>31</v>
      </c>
      <c r="H302">
        <v>285</v>
      </c>
      <c r="I302" t="s">
        <v>136</v>
      </c>
      <c r="J302" t="s">
        <v>137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"20:20:48.531"</f>
        <v>20:20:48.531</v>
      </c>
      <c r="T302" t="str">
        <f>"20:20:48.331"</f>
        <v>20:20:48.331</v>
      </c>
      <c r="U302" t="str">
        <f t="shared" si="37"/>
        <v>AA0632</v>
      </c>
      <c r="V302">
        <v>0</v>
      </c>
      <c r="W302">
        <v>0</v>
      </c>
      <c r="X302">
        <v>2</v>
      </c>
      <c r="Y302">
        <v>0</v>
      </c>
      <c r="AA302">
        <v>0</v>
      </c>
      <c r="AB302">
        <v>9</v>
      </c>
      <c r="AC302">
        <v>3</v>
      </c>
      <c r="AD302">
        <v>0</v>
      </c>
      <c r="AE302">
        <v>10</v>
      </c>
      <c r="AF302" t="s">
        <v>126</v>
      </c>
      <c r="AG302">
        <v>0</v>
      </c>
      <c r="AH302">
        <v>0</v>
      </c>
      <c r="AI302">
        <v>2</v>
      </c>
      <c r="AJ302">
        <v>0</v>
      </c>
      <c r="AK302" t="s">
        <v>253</v>
      </c>
      <c r="AL302">
        <v>31.96058</v>
      </c>
      <c r="AM302" t="s">
        <v>283</v>
      </c>
      <c r="AN302">
        <v>-101.13061</v>
      </c>
      <c r="AQ302" t="s">
        <v>129</v>
      </c>
      <c r="AR302">
        <v>87</v>
      </c>
      <c r="AS302">
        <v>-20</v>
      </c>
      <c r="AT302">
        <v>-64</v>
      </c>
      <c r="BB302" t="str">
        <f t="shared" si="38"/>
        <v>1200</v>
      </c>
      <c r="BC302">
        <v>1</v>
      </c>
      <c r="BD302" t="str">
        <f t="shared" si="39"/>
        <v xml:space="preserve">N745MB  </v>
      </c>
      <c r="BE302">
        <v>1</v>
      </c>
      <c r="BG302">
        <v>0</v>
      </c>
      <c r="BH302">
        <v>0</v>
      </c>
      <c r="BI302">
        <v>0</v>
      </c>
      <c r="BL302" t="s">
        <v>130</v>
      </c>
      <c r="BM302">
        <v>1</v>
      </c>
      <c r="BN302">
        <v>0</v>
      </c>
      <c r="BO302">
        <v>0</v>
      </c>
      <c r="BP302">
        <v>0</v>
      </c>
      <c r="BT302">
        <v>0</v>
      </c>
      <c r="BU302">
        <v>0</v>
      </c>
      <c r="CE302" t="str">
        <f>"20:20:48.533"</f>
        <v>20:20:48.533</v>
      </c>
      <c r="CF302">
        <v>533252060</v>
      </c>
      <c r="CS302">
        <v>0</v>
      </c>
      <c r="CT302">
        <v>2</v>
      </c>
      <c r="CU302">
        <v>0</v>
      </c>
      <c r="CV302">
        <v>2</v>
      </c>
      <c r="CW302">
        <v>0</v>
      </c>
      <c r="CX302">
        <v>1</v>
      </c>
      <c r="CY302">
        <v>7</v>
      </c>
      <c r="CZ302" t="s">
        <v>131</v>
      </c>
      <c r="DA302">
        <v>116</v>
      </c>
      <c r="DB302">
        <v>3</v>
      </c>
      <c r="DC302" t="s">
        <v>132</v>
      </c>
      <c r="DD302" t="s">
        <v>133</v>
      </c>
      <c r="DG302">
        <v>8244204</v>
      </c>
      <c r="DI302">
        <v>0</v>
      </c>
      <c r="DJ302">
        <v>0</v>
      </c>
      <c r="DK302">
        <v>1</v>
      </c>
      <c r="DL302">
        <v>0</v>
      </c>
      <c r="DM302">
        <v>0</v>
      </c>
      <c r="DN302">
        <v>0</v>
      </c>
      <c r="DO302">
        <v>0</v>
      </c>
      <c r="DP302">
        <v>1</v>
      </c>
      <c r="DQ302">
        <v>0</v>
      </c>
      <c r="DR302">
        <v>0</v>
      </c>
      <c r="DS302">
        <v>0</v>
      </c>
    </row>
    <row r="303" spans="1:123" x14ac:dyDescent="0.25">
      <c r="A303" t="str">
        <f>"11/29/2023 20:20:49.117"</f>
        <v>11/29/2023 20:20:49.117</v>
      </c>
      <c r="C303" t="str">
        <f t="shared" si="41"/>
        <v>FFDF53C0</v>
      </c>
      <c r="D303" t="s">
        <v>123</v>
      </c>
      <c r="E303">
        <v>1</v>
      </c>
      <c r="F303">
        <v>1001</v>
      </c>
      <c r="G303" t="s">
        <v>134</v>
      </c>
      <c r="J303" t="s">
        <v>125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"20:20:48.531"</f>
        <v>20:20:48.531</v>
      </c>
      <c r="T303" t="str">
        <f>"20:20:48.331"</f>
        <v>20:20:48.331</v>
      </c>
      <c r="U303" t="str">
        <f t="shared" si="37"/>
        <v>AA0632</v>
      </c>
      <c r="V303">
        <v>0</v>
      </c>
      <c r="W303">
        <v>0</v>
      </c>
      <c r="X303">
        <v>2</v>
      </c>
      <c r="Y303">
        <v>0</v>
      </c>
      <c r="AA303">
        <v>0</v>
      </c>
      <c r="AB303">
        <v>9</v>
      </c>
      <c r="AC303">
        <v>3</v>
      </c>
      <c r="AD303">
        <v>0</v>
      </c>
      <c r="AE303">
        <v>10</v>
      </c>
      <c r="AF303" t="s">
        <v>126</v>
      </c>
      <c r="AG303">
        <v>0</v>
      </c>
      <c r="AH303">
        <v>0</v>
      </c>
      <c r="AI303">
        <v>2</v>
      </c>
      <c r="AJ303">
        <v>0</v>
      </c>
      <c r="AK303" t="s">
        <v>253</v>
      </c>
      <c r="AL303">
        <v>31.96058</v>
      </c>
      <c r="AM303" t="s">
        <v>283</v>
      </c>
      <c r="AN303">
        <v>-101.13061</v>
      </c>
      <c r="AQ303" t="s">
        <v>129</v>
      </c>
      <c r="AR303">
        <v>87</v>
      </c>
      <c r="AS303">
        <v>-20</v>
      </c>
      <c r="AT303">
        <v>-64</v>
      </c>
      <c r="BB303" t="str">
        <f t="shared" si="38"/>
        <v>1200</v>
      </c>
      <c r="BC303">
        <v>1</v>
      </c>
      <c r="BD303" t="str">
        <f t="shared" si="39"/>
        <v xml:space="preserve">N745MB  </v>
      </c>
      <c r="BE303">
        <v>1</v>
      </c>
      <c r="BG303">
        <v>0</v>
      </c>
      <c r="BH303">
        <v>0</v>
      </c>
      <c r="BI303">
        <v>0</v>
      </c>
      <c r="BL303" t="s">
        <v>130</v>
      </c>
      <c r="BM303">
        <v>1</v>
      </c>
      <c r="BN303">
        <v>0</v>
      </c>
      <c r="BO303">
        <v>0</v>
      </c>
      <c r="BP303">
        <v>0</v>
      </c>
      <c r="BT303">
        <v>0</v>
      </c>
      <c r="BU303">
        <v>0</v>
      </c>
      <c r="CE303" t="str">
        <f>"20:20:48.533"</f>
        <v>20:20:48.533</v>
      </c>
      <c r="CF303">
        <v>533252060</v>
      </c>
      <c r="CS303">
        <v>0</v>
      </c>
      <c r="CT303">
        <v>2</v>
      </c>
      <c r="CU303">
        <v>0</v>
      </c>
      <c r="CV303">
        <v>2</v>
      </c>
      <c r="CW303">
        <v>0</v>
      </c>
      <c r="CX303">
        <v>1</v>
      </c>
      <c r="CY303">
        <v>7</v>
      </c>
      <c r="CZ303" t="s">
        <v>131</v>
      </c>
      <c r="DA303">
        <v>116</v>
      </c>
      <c r="DB303">
        <v>3</v>
      </c>
      <c r="DC303" t="s">
        <v>132</v>
      </c>
      <c r="DD303" t="s">
        <v>133</v>
      </c>
      <c r="DG303">
        <v>8244204</v>
      </c>
      <c r="DI303">
        <v>0</v>
      </c>
      <c r="DJ303">
        <v>0</v>
      </c>
      <c r="DK303">
        <v>1</v>
      </c>
      <c r="DL303">
        <v>0</v>
      </c>
      <c r="DM303">
        <v>0</v>
      </c>
      <c r="DN303">
        <v>0</v>
      </c>
      <c r="DO303">
        <v>0</v>
      </c>
      <c r="DP303">
        <v>1</v>
      </c>
      <c r="DQ303">
        <v>0</v>
      </c>
      <c r="DR303">
        <v>0</v>
      </c>
      <c r="DS303">
        <v>0</v>
      </c>
    </row>
    <row r="304" spans="1:123" x14ac:dyDescent="0.25">
      <c r="A304" t="str">
        <f>"11/29/2023 20:20:50.054"</f>
        <v>11/29/2023 20:20:50.054</v>
      </c>
      <c r="C304" t="str">
        <f t="shared" si="41"/>
        <v>FFDF53C0</v>
      </c>
      <c r="D304" t="s">
        <v>135</v>
      </c>
      <c r="E304">
        <v>31</v>
      </c>
      <c r="H304">
        <v>285</v>
      </c>
      <c r="I304" t="s">
        <v>136</v>
      </c>
      <c r="J304" t="s">
        <v>137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"20:20:49.547"</f>
        <v>20:20:49.547</v>
      </c>
      <c r="T304" t="str">
        <f>"20:20:49.347"</f>
        <v>20:20:49.347</v>
      </c>
      <c r="U304" t="str">
        <f t="shared" si="37"/>
        <v>AA0632</v>
      </c>
      <c r="V304">
        <v>0</v>
      </c>
      <c r="W304">
        <v>0</v>
      </c>
      <c r="X304">
        <v>2</v>
      </c>
      <c r="Y304">
        <v>0</v>
      </c>
      <c r="AA304">
        <v>0</v>
      </c>
      <c r="AB304">
        <v>9</v>
      </c>
      <c r="AC304">
        <v>3</v>
      </c>
      <c r="AD304">
        <v>0</v>
      </c>
      <c r="AE304">
        <v>10</v>
      </c>
      <c r="AF304" t="s">
        <v>126</v>
      </c>
      <c r="AG304">
        <v>0</v>
      </c>
      <c r="AH304">
        <v>0</v>
      </c>
      <c r="AI304">
        <v>2</v>
      </c>
      <c r="AJ304">
        <v>0</v>
      </c>
      <c r="AK304" t="s">
        <v>284</v>
      </c>
      <c r="AL304">
        <v>31.960429999999999</v>
      </c>
      <c r="AM304" t="s">
        <v>285</v>
      </c>
      <c r="AN304">
        <v>-101.13015900000001</v>
      </c>
      <c r="AQ304" t="s">
        <v>129</v>
      </c>
      <c r="AR304">
        <v>85</v>
      </c>
      <c r="AS304">
        <v>-22</v>
      </c>
      <c r="AT304">
        <v>-64</v>
      </c>
      <c r="BB304" t="str">
        <f t="shared" si="38"/>
        <v>1200</v>
      </c>
      <c r="BC304">
        <v>1</v>
      </c>
      <c r="BD304" t="str">
        <f t="shared" si="39"/>
        <v xml:space="preserve">N745MB  </v>
      </c>
      <c r="BE304">
        <v>1</v>
      </c>
      <c r="BG304">
        <v>0</v>
      </c>
      <c r="BH304">
        <v>0</v>
      </c>
      <c r="BI304">
        <v>0</v>
      </c>
      <c r="BL304" t="s">
        <v>130</v>
      </c>
      <c r="BM304">
        <v>1</v>
      </c>
      <c r="BN304">
        <v>0</v>
      </c>
      <c r="BO304">
        <v>0</v>
      </c>
      <c r="BP304">
        <v>0</v>
      </c>
      <c r="BT304">
        <v>0</v>
      </c>
      <c r="BU304">
        <v>0</v>
      </c>
      <c r="CE304" t="str">
        <f>"20:20:49.553"</f>
        <v>20:20:49.553</v>
      </c>
      <c r="CF304">
        <v>553181739</v>
      </c>
      <c r="CS304">
        <v>0</v>
      </c>
      <c r="CT304">
        <v>2</v>
      </c>
      <c r="CU304">
        <v>0</v>
      </c>
      <c r="CV304">
        <v>2</v>
      </c>
      <c r="CW304">
        <v>0</v>
      </c>
      <c r="CX304">
        <v>1</v>
      </c>
      <c r="CY304">
        <v>7</v>
      </c>
      <c r="CZ304" t="s">
        <v>131</v>
      </c>
      <c r="DA304">
        <v>116</v>
      </c>
      <c r="DB304">
        <v>3</v>
      </c>
      <c r="DC304" t="s">
        <v>132</v>
      </c>
      <c r="DD304" t="s">
        <v>133</v>
      </c>
      <c r="DG304">
        <v>8244791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1</v>
      </c>
      <c r="DQ304">
        <v>0</v>
      </c>
      <c r="DR304">
        <v>0</v>
      </c>
      <c r="DS304">
        <v>0</v>
      </c>
    </row>
    <row r="305" spans="1:123" x14ac:dyDescent="0.25">
      <c r="A305" t="str">
        <f>"11/29/2023 20:20:50.054"</f>
        <v>11/29/2023 20:20:50.054</v>
      </c>
      <c r="C305" t="str">
        <f t="shared" si="41"/>
        <v>FFDF53C0</v>
      </c>
      <c r="D305" t="s">
        <v>123</v>
      </c>
      <c r="E305">
        <v>1</v>
      </c>
      <c r="F305">
        <v>1001</v>
      </c>
      <c r="G305" t="s">
        <v>134</v>
      </c>
      <c r="J305" t="s">
        <v>125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"20:20:49.547"</f>
        <v>20:20:49.547</v>
      </c>
      <c r="T305" t="str">
        <f>"20:20:49.347"</f>
        <v>20:20:49.347</v>
      </c>
      <c r="U305" t="str">
        <f t="shared" si="37"/>
        <v>AA0632</v>
      </c>
      <c r="V305">
        <v>0</v>
      </c>
      <c r="W305">
        <v>0</v>
      </c>
      <c r="X305">
        <v>2</v>
      </c>
      <c r="Y305">
        <v>0</v>
      </c>
      <c r="AA305">
        <v>0</v>
      </c>
      <c r="AB305">
        <v>9</v>
      </c>
      <c r="AC305">
        <v>3</v>
      </c>
      <c r="AD305">
        <v>0</v>
      </c>
      <c r="AE305">
        <v>10</v>
      </c>
      <c r="AF305" t="s">
        <v>126</v>
      </c>
      <c r="AG305">
        <v>0</v>
      </c>
      <c r="AH305">
        <v>0</v>
      </c>
      <c r="AI305">
        <v>2</v>
      </c>
      <c r="AJ305">
        <v>0</v>
      </c>
      <c r="AK305" t="s">
        <v>284</v>
      </c>
      <c r="AL305">
        <v>31.960429999999999</v>
      </c>
      <c r="AM305" t="s">
        <v>285</v>
      </c>
      <c r="AN305">
        <v>-101.13015900000001</v>
      </c>
      <c r="AQ305" t="s">
        <v>129</v>
      </c>
      <c r="AR305">
        <v>85</v>
      </c>
      <c r="AS305">
        <v>-22</v>
      </c>
      <c r="AT305">
        <v>-64</v>
      </c>
      <c r="BB305" t="str">
        <f t="shared" si="38"/>
        <v>1200</v>
      </c>
      <c r="BC305">
        <v>1</v>
      </c>
      <c r="BD305" t="str">
        <f t="shared" si="39"/>
        <v xml:space="preserve">N745MB  </v>
      </c>
      <c r="BE305">
        <v>1</v>
      </c>
      <c r="BG305">
        <v>0</v>
      </c>
      <c r="BH305">
        <v>0</v>
      </c>
      <c r="BI305">
        <v>0</v>
      </c>
      <c r="BL305" t="s">
        <v>130</v>
      </c>
      <c r="BM305">
        <v>1</v>
      </c>
      <c r="BN305">
        <v>0</v>
      </c>
      <c r="BO305">
        <v>0</v>
      </c>
      <c r="BP305">
        <v>0</v>
      </c>
      <c r="BT305">
        <v>0</v>
      </c>
      <c r="BU305">
        <v>0</v>
      </c>
      <c r="CE305" t="str">
        <f>"20:20:49.553"</f>
        <v>20:20:49.553</v>
      </c>
      <c r="CF305">
        <v>553181739</v>
      </c>
      <c r="CS305">
        <v>0</v>
      </c>
      <c r="CT305">
        <v>2</v>
      </c>
      <c r="CU305">
        <v>0</v>
      </c>
      <c r="CV305">
        <v>2</v>
      </c>
      <c r="CW305">
        <v>0</v>
      </c>
      <c r="CX305">
        <v>1</v>
      </c>
      <c r="CY305">
        <v>7</v>
      </c>
      <c r="CZ305" t="s">
        <v>131</v>
      </c>
      <c r="DA305">
        <v>116</v>
      </c>
      <c r="DB305">
        <v>3</v>
      </c>
      <c r="DC305" t="s">
        <v>132</v>
      </c>
      <c r="DD305" t="s">
        <v>133</v>
      </c>
      <c r="DG305">
        <v>8244791</v>
      </c>
      <c r="DI305">
        <v>0</v>
      </c>
      <c r="DJ305">
        <v>0</v>
      </c>
      <c r="DK305">
        <v>1</v>
      </c>
      <c r="DL305">
        <v>0</v>
      </c>
      <c r="DM305">
        <v>0</v>
      </c>
      <c r="DN305">
        <v>0</v>
      </c>
      <c r="DO305">
        <v>0</v>
      </c>
      <c r="DP305">
        <v>1</v>
      </c>
      <c r="DQ305">
        <v>0</v>
      </c>
      <c r="DR305">
        <v>0</v>
      </c>
      <c r="DS305">
        <v>0</v>
      </c>
    </row>
    <row r="306" spans="1:123" x14ac:dyDescent="0.25">
      <c r="A306" t="str">
        <f>"11/29/2023 20:20:50.070"</f>
        <v>11/29/2023 20:20:50.070</v>
      </c>
      <c r="C306" t="str">
        <f t="shared" si="41"/>
        <v>FFDF53C0</v>
      </c>
      <c r="D306" t="s">
        <v>123</v>
      </c>
      <c r="E306">
        <v>14</v>
      </c>
      <c r="F306">
        <v>1014</v>
      </c>
      <c r="G306" t="s">
        <v>124</v>
      </c>
      <c r="J306" t="s">
        <v>125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"20:20:49.547"</f>
        <v>20:20:49.547</v>
      </c>
      <c r="T306" t="str">
        <f>"20:20:49.347"</f>
        <v>20:20:49.347</v>
      </c>
      <c r="U306" t="str">
        <f t="shared" si="37"/>
        <v>AA0632</v>
      </c>
      <c r="V306">
        <v>0</v>
      </c>
      <c r="W306">
        <v>0</v>
      </c>
      <c r="X306">
        <v>2</v>
      </c>
      <c r="Y306">
        <v>0</v>
      </c>
      <c r="AA306">
        <v>0</v>
      </c>
      <c r="AB306">
        <v>9</v>
      </c>
      <c r="AC306">
        <v>3</v>
      </c>
      <c r="AD306">
        <v>0</v>
      </c>
      <c r="AE306">
        <v>10</v>
      </c>
      <c r="AF306" t="s">
        <v>126</v>
      </c>
      <c r="AG306">
        <v>0</v>
      </c>
      <c r="AH306">
        <v>0</v>
      </c>
      <c r="AI306">
        <v>2</v>
      </c>
      <c r="AJ306">
        <v>0</v>
      </c>
      <c r="AK306" t="s">
        <v>284</v>
      </c>
      <c r="AL306">
        <v>31.960429999999999</v>
      </c>
      <c r="AM306" t="s">
        <v>285</v>
      </c>
      <c r="AN306">
        <v>-101.13015900000001</v>
      </c>
      <c r="AQ306" t="s">
        <v>129</v>
      </c>
      <c r="AR306">
        <v>85</v>
      </c>
      <c r="AS306">
        <v>-22</v>
      </c>
      <c r="AT306">
        <v>-64</v>
      </c>
      <c r="BB306" t="str">
        <f t="shared" si="38"/>
        <v>1200</v>
      </c>
      <c r="BC306">
        <v>1</v>
      </c>
      <c r="BD306" t="str">
        <f t="shared" si="39"/>
        <v xml:space="preserve">N745MB  </v>
      </c>
      <c r="BE306">
        <v>1</v>
      </c>
      <c r="BG306">
        <v>0</v>
      </c>
      <c r="BH306">
        <v>0</v>
      </c>
      <c r="BI306">
        <v>0</v>
      </c>
      <c r="BL306" t="s">
        <v>130</v>
      </c>
      <c r="BM306">
        <v>1</v>
      </c>
      <c r="BN306">
        <v>0</v>
      </c>
      <c r="BO306">
        <v>0</v>
      </c>
      <c r="BP306">
        <v>0</v>
      </c>
      <c r="BT306">
        <v>0</v>
      </c>
      <c r="BU306">
        <v>0</v>
      </c>
      <c r="CE306" t="str">
        <f>"20:20:49.553"</f>
        <v>20:20:49.553</v>
      </c>
      <c r="CF306">
        <v>553181739</v>
      </c>
      <c r="CS306">
        <v>0</v>
      </c>
      <c r="CT306">
        <v>2</v>
      </c>
      <c r="CU306">
        <v>0</v>
      </c>
      <c r="CV306">
        <v>2</v>
      </c>
      <c r="CW306">
        <v>0</v>
      </c>
      <c r="CX306">
        <v>1</v>
      </c>
      <c r="CY306">
        <v>7</v>
      </c>
      <c r="CZ306" t="s">
        <v>131</v>
      </c>
      <c r="DA306">
        <v>116</v>
      </c>
      <c r="DB306">
        <v>3</v>
      </c>
      <c r="DC306" t="s">
        <v>132</v>
      </c>
      <c r="DD306" t="s">
        <v>133</v>
      </c>
      <c r="DG306">
        <v>8244791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1</v>
      </c>
      <c r="DQ306">
        <v>0</v>
      </c>
      <c r="DR306">
        <v>0</v>
      </c>
      <c r="DS306">
        <v>0</v>
      </c>
    </row>
    <row r="307" spans="1:123" x14ac:dyDescent="0.25">
      <c r="A307" t="str">
        <f>"11/29/2023 20:20:50.070"</f>
        <v>11/29/2023 20:20:50.070</v>
      </c>
      <c r="C307" t="str">
        <f t="shared" si="41"/>
        <v>FFDF53C0</v>
      </c>
      <c r="D307" t="s">
        <v>138</v>
      </c>
      <c r="E307">
        <v>3</v>
      </c>
      <c r="H307">
        <v>160</v>
      </c>
      <c r="I307" t="s">
        <v>124</v>
      </c>
      <c r="J307" t="s">
        <v>139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"20:20:49.547"</f>
        <v>20:20:49.547</v>
      </c>
      <c r="T307" t="str">
        <f>"20:20:49.347"</f>
        <v>20:20:49.347</v>
      </c>
      <c r="U307" t="str">
        <f t="shared" si="37"/>
        <v>AA0632</v>
      </c>
      <c r="V307">
        <v>0</v>
      </c>
      <c r="W307">
        <v>0</v>
      </c>
      <c r="X307">
        <v>2</v>
      </c>
      <c r="Y307">
        <v>0</v>
      </c>
      <c r="AA307">
        <v>0</v>
      </c>
      <c r="AB307">
        <v>9</v>
      </c>
      <c r="AC307">
        <v>3</v>
      </c>
      <c r="AD307">
        <v>0</v>
      </c>
      <c r="AE307">
        <v>10</v>
      </c>
      <c r="AF307" t="s">
        <v>126</v>
      </c>
      <c r="AG307">
        <v>0</v>
      </c>
      <c r="AH307">
        <v>0</v>
      </c>
      <c r="AI307">
        <v>2</v>
      </c>
      <c r="AJ307">
        <v>0</v>
      </c>
      <c r="AK307" t="s">
        <v>284</v>
      </c>
      <c r="AL307">
        <v>31.960429999999999</v>
      </c>
      <c r="AM307" t="s">
        <v>285</v>
      </c>
      <c r="AN307">
        <v>-101.13015900000001</v>
      </c>
      <c r="AQ307" t="s">
        <v>129</v>
      </c>
      <c r="AR307">
        <v>85</v>
      </c>
      <c r="AS307">
        <v>-22</v>
      </c>
      <c r="AT307">
        <v>-64</v>
      </c>
      <c r="BB307" t="str">
        <f t="shared" si="38"/>
        <v>1200</v>
      </c>
      <c r="BC307">
        <v>1</v>
      </c>
      <c r="BD307" t="str">
        <f t="shared" si="39"/>
        <v xml:space="preserve">N745MB  </v>
      </c>
      <c r="BE307">
        <v>1</v>
      </c>
      <c r="BG307">
        <v>0</v>
      </c>
      <c r="BH307">
        <v>0</v>
      </c>
      <c r="BI307">
        <v>0</v>
      </c>
      <c r="BL307" t="s">
        <v>130</v>
      </c>
      <c r="BM307">
        <v>1</v>
      </c>
      <c r="BN307">
        <v>0</v>
      </c>
      <c r="BO307">
        <v>0</v>
      </c>
      <c r="BP307">
        <v>0</v>
      </c>
      <c r="BT307">
        <v>0</v>
      </c>
      <c r="BU307">
        <v>0</v>
      </c>
      <c r="CE307" t="str">
        <f>"20:20:49.553"</f>
        <v>20:20:49.553</v>
      </c>
      <c r="CF307">
        <v>553181739</v>
      </c>
      <c r="CS307">
        <v>0</v>
      </c>
      <c r="CT307">
        <v>2</v>
      </c>
      <c r="CU307">
        <v>0</v>
      </c>
      <c r="CV307">
        <v>2</v>
      </c>
      <c r="CW307">
        <v>0</v>
      </c>
      <c r="CX307">
        <v>1</v>
      </c>
      <c r="CY307">
        <v>7</v>
      </c>
      <c r="CZ307" t="s">
        <v>131</v>
      </c>
      <c r="DA307">
        <v>116</v>
      </c>
      <c r="DB307">
        <v>3</v>
      </c>
      <c r="DC307" t="s">
        <v>132</v>
      </c>
      <c r="DD307" t="s">
        <v>133</v>
      </c>
      <c r="DG307">
        <v>8244791</v>
      </c>
      <c r="DI307">
        <v>0</v>
      </c>
      <c r="DJ307">
        <v>0</v>
      </c>
      <c r="DK307">
        <v>1</v>
      </c>
      <c r="DL307">
        <v>0</v>
      </c>
      <c r="DM307">
        <v>0</v>
      </c>
      <c r="DN307">
        <v>0</v>
      </c>
      <c r="DO307">
        <v>0</v>
      </c>
      <c r="DP307">
        <v>1</v>
      </c>
      <c r="DQ307">
        <v>0</v>
      </c>
      <c r="DR307">
        <v>0</v>
      </c>
      <c r="DS307">
        <v>0</v>
      </c>
    </row>
    <row r="308" spans="1:123" x14ac:dyDescent="0.25">
      <c r="A308" t="str">
        <f>"11/29/2023 20:20:51.398"</f>
        <v>11/29/2023 20:20:51.398</v>
      </c>
      <c r="C308" t="str">
        <f t="shared" si="41"/>
        <v>FFDF53C0</v>
      </c>
      <c r="D308" t="s">
        <v>123</v>
      </c>
      <c r="E308">
        <v>14</v>
      </c>
      <c r="F308">
        <v>1014</v>
      </c>
      <c r="G308" t="s">
        <v>124</v>
      </c>
      <c r="J308" t="s">
        <v>125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"20:20:50.961"</f>
        <v>20:20:50.961</v>
      </c>
      <c r="T308" t="str">
        <f>"20:20:50.861"</f>
        <v>20:20:50.861</v>
      </c>
      <c r="U308" t="str">
        <f t="shared" si="37"/>
        <v>AA0632</v>
      </c>
      <c r="V308">
        <v>0</v>
      </c>
      <c r="W308">
        <v>0</v>
      </c>
      <c r="X308">
        <v>2</v>
      </c>
      <c r="Y308">
        <v>0</v>
      </c>
      <c r="AA308">
        <v>0</v>
      </c>
      <c r="AB308">
        <v>9</v>
      </c>
      <c r="AC308">
        <v>3</v>
      </c>
      <c r="AD308">
        <v>0</v>
      </c>
      <c r="AE308">
        <v>10</v>
      </c>
      <c r="AF308" t="s">
        <v>126</v>
      </c>
      <c r="AG308">
        <v>0</v>
      </c>
      <c r="AH308">
        <v>0</v>
      </c>
      <c r="AI308">
        <v>2</v>
      </c>
      <c r="AJ308">
        <v>0</v>
      </c>
      <c r="AK308" t="s">
        <v>286</v>
      </c>
      <c r="AL308">
        <v>31.960301000000001</v>
      </c>
      <c r="AM308" t="s">
        <v>287</v>
      </c>
      <c r="AN308">
        <v>-101.12949399999999</v>
      </c>
      <c r="AQ308" t="s">
        <v>129</v>
      </c>
      <c r="AR308">
        <v>84</v>
      </c>
      <c r="AS308">
        <v>-25</v>
      </c>
      <c r="AT308">
        <v>-128</v>
      </c>
      <c r="BB308" t="str">
        <f t="shared" si="38"/>
        <v>1200</v>
      </c>
      <c r="BC308">
        <v>1</v>
      </c>
      <c r="BD308" t="str">
        <f t="shared" si="39"/>
        <v xml:space="preserve">N745MB  </v>
      </c>
      <c r="BE308">
        <v>1</v>
      </c>
      <c r="BG308">
        <v>0</v>
      </c>
      <c r="BH308">
        <v>0</v>
      </c>
      <c r="BI308">
        <v>0</v>
      </c>
      <c r="BL308" t="s">
        <v>130</v>
      </c>
      <c r="BM308">
        <v>1</v>
      </c>
      <c r="BN308">
        <v>0</v>
      </c>
      <c r="BO308">
        <v>0</v>
      </c>
      <c r="BP308">
        <v>0</v>
      </c>
      <c r="BT308">
        <v>0</v>
      </c>
      <c r="BU308">
        <v>0</v>
      </c>
      <c r="CE308" t="str">
        <f>"20:20:50.965"</f>
        <v>20:20:50.965</v>
      </c>
      <c r="CF308">
        <v>965085510</v>
      </c>
      <c r="CS308">
        <v>0</v>
      </c>
      <c r="CT308">
        <v>2</v>
      </c>
      <c r="CU308">
        <v>0</v>
      </c>
      <c r="CV308">
        <v>2</v>
      </c>
      <c r="CW308">
        <v>0</v>
      </c>
      <c r="CX308">
        <v>2</v>
      </c>
      <c r="CY308">
        <v>7</v>
      </c>
      <c r="CZ308" t="s">
        <v>131</v>
      </c>
      <c r="DA308">
        <v>116</v>
      </c>
      <c r="DB308">
        <v>3</v>
      </c>
      <c r="DC308" t="s">
        <v>132</v>
      </c>
      <c r="DD308" t="s">
        <v>133</v>
      </c>
      <c r="DG308">
        <v>8245596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1</v>
      </c>
      <c r="DQ308">
        <v>0</v>
      </c>
      <c r="DR308">
        <v>0</v>
      </c>
      <c r="DS308">
        <v>0</v>
      </c>
    </row>
    <row r="309" spans="1:123" x14ac:dyDescent="0.25">
      <c r="A309" t="str">
        <f>"11/29/2023 20:20:51.398"</f>
        <v>11/29/2023 20:20:51.398</v>
      </c>
      <c r="C309" t="str">
        <f t="shared" si="41"/>
        <v>FFDF53C0</v>
      </c>
      <c r="D309" t="s">
        <v>138</v>
      </c>
      <c r="E309">
        <v>3</v>
      </c>
      <c r="H309">
        <v>160</v>
      </c>
      <c r="I309" t="s">
        <v>124</v>
      </c>
      <c r="J309" t="s">
        <v>139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"20:20:50.961"</f>
        <v>20:20:50.961</v>
      </c>
      <c r="T309" t="str">
        <f>"20:20:50.861"</f>
        <v>20:20:50.861</v>
      </c>
      <c r="U309" t="str">
        <f t="shared" si="37"/>
        <v>AA0632</v>
      </c>
      <c r="V309">
        <v>0</v>
      </c>
      <c r="W309">
        <v>0</v>
      </c>
      <c r="X309">
        <v>2</v>
      </c>
      <c r="Y309">
        <v>0</v>
      </c>
      <c r="AA309">
        <v>0</v>
      </c>
      <c r="AB309">
        <v>9</v>
      </c>
      <c r="AC309">
        <v>3</v>
      </c>
      <c r="AD309">
        <v>0</v>
      </c>
      <c r="AE309">
        <v>10</v>
      </c>
      <c r="AF309" t="s">
        <v>126</v>
      </c>
      <c r="AG309">
        <v>0</v>
      </c>
      <c r="AH309">
        <v>0</v>
      </c>
      <c r="AI309">
        <v>2</v>
      </c>
      <c r="AJ309">
        <v>0</v>
      </c>
      <c r="AK309" t="s">
        <v>286</v>
      </c>
      <c r="AL309">
        <v>31.960301000000001</v>
      </c>
      <c r="AM309" t="s">
        <v>287</v>
      </c>
      <c r="AN309">
        <v>-101.12949399999999</v>
      </c>
      <c r="AQ309" t="s">
        <v>129</v>
      </c>
      <c r="AR309">
        <v>84</v>
      </c>
      <c r="AS309">
        <v>-25</v>
      </c>
      <c r="AT309">
        <v>-128</v>
      </c>
      <c r="BB309" t="str">
        <f t="shared" si="38"/>
        <v>1200</v>
      </c>
      <c r="BC309">
        <v>1</v>
      </c>
      <c r="BD309" t="str">
        <f t="shared" si="39"/>
        <v xml:space="preserve">N745MB  </v>
      </c>
      <c r="BE309">
        <v>1</v>
      </c>
      <c r="BG309">
        <v>0</v>
      </c>
      <c r="BH309">
        <v>0</v>
      </c>
      <c r="BI309">
        <v>0</v>
      </c>
      <c r="BL309" t="s">
        <v>130</v>
      </c>
      <c r="BM309">
        <v>1</v>
      </c>
      <c r="BN309">
        <v>0</v>
      </c>
      <c r="BO309">
        <v>0</v>
      </c>
      <c r="BP309">
        <v>0</v>
      </c>
      <c r="BT309">
        <v>0</v>
      </c>
      <c r="BU309">
        <v>0</v>
      </c>
      <c r="CE309" t="str">
        <f>"20:20:50.965"</f>
        <v>20:20:50.965</v>
      </c>
      <c r="CF309">
        <v>965085510</v>
      </c>
      <c r="CS309">
        <v>0</v>
      </c>
      <c r="CT309">
        <v>2</v>
      </c>
      <c r="CU309">
        <v>0</v>
      </c>
      <c r="CV309">
        <v>2</v>
      </c>
      <c r="CW309">
        <v>0</v>
      </c>
      <c r="CX309">
        <v>2</v>
      </c>
      <c r="CY309">
        <v>7</v>
      </c>
      <c r="CZ309" t="s">
        <v>131</v>
      </c>
      <c r="DA309">
        <v>116</v>
      </c>
      <c r="DB309">
        <v>3</v>
      </c>
      <c r="DC309" t="s">
        <v>132</v>
      </c>
      <c r="DD309" t="s">
        <v>133</v>
      </c>
      <c r="DG309">
        <v>8245596</v>
      </c>
      <c r="DI309">
        <v>0</v>
      </c>
      <c r="DJ309">
        <v>0</v>
      </c>
      <c r="DK309">
        <v>1</v>
      </c>
      <c r="DL309">
        <v>0</v>
      </c>
      <c r="DM309">
        <v>0</v>
      </c>
      <c r="DN309">
        <v>0</v>
      </c>
      <c r="DO309">
        <v>0</v>
      </c>
      <c r="DP309">
        <v>1</v>
      </c>
      <c r="DQ309">
        <v>0</v>
      </c>
      <c r="DR309">
        <v>0</v>
      </c>
      <c r="DS309">
        <v>0</v>
      </c>
    </row>
    <row r="310" spans="1:123" x14ac:dyDescent="0.25">
      <c r="A310" t="str">
        <f>"11/29/2023 20:20:51.398"</f>
        <v>11/29/2023 20:20:51.398</v>
      </c>
      <c r="C310" t="str">
        <f t="shared" si="41"/>
        <v>FFDF53C0</v>
      </c>
      <c r="D310" t="s">
        <v>123</v>
      </c>
      <c r="E310">
        <v>1</v>
      </c>
      <c r="F310">
        <v>1001</v>
      </c>
      <c r="G310" t="s">
        <v>134</v>
      </c>
      <c r="J310" t="s">
        <v>125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"20:20:50.961"</f>
        <v>20:20:50.961</v>
      </c>
      <c r="T310" t="str">
        <f>"20:20:50.861"</f>
        <v>20:20:50.861</v>
      </c>
      <c r="U310" t="str">
        <f t="shared" si="37"/>
        <v>AA0632</v>
      </c>
      <c r="V310">
        <v>0</v>
      </c>
      <c r="W310">
        <v>0</v>
      </c>
      <c r="X310">
        <v>2</v>
      </c>
      <c r="Y310">
        <v>0</v>
      </c>
      <c r="AA310">
        <v>0</v>
      </c>
      <c r="AB310">
        <v>9</v>
      </c>
      <c r="AC310">
        <v>3</v>
      </c>
      <c r="AD310">
        <v>0</v>
      </c>
      <c r="AE310">
        <v>10</v>
      </c>
      <c r="AF310" t="s">
        <v>126</v>
      </c>
      <c r="AG310">
        <v>0</v>
      </c>
      <c r="AH310">
        <v>0</v>
      </c>
      <c r="AI310">
        <v>2</v>
      </c>
      <c r="AJ310">
        <v>0</v>
      </c>
      <c r="AK310" t="s">
        <v>286</v>
      </c>
      <c r="AL310">
        <v>31.960301000000001</v>
      </c>
      <c r="AM310" t="s">
        <v>287</v>
      </c>
      <c r="AN310">
        <v>-101.12949399999999</v>
      </c>
      <c r="AQ310" t="s">
        <v>129</v>
      </c>
      <c r="AR310">
        <v>84</v>
      </c>
      <c r="AS310">
        <v>-25</v>
      </c>
      <c r="AT310">
        <v>-128</v>
      </c>
      <c r="BB310" t="str">
        <f t="shared" si="38"/>
        <v>1200</v>
      </c>
      <c r="BC310">
        <v>1</v>
      </c>
      <c r="BD310" t="str">
        <f t="shared" si="39"/>
        <v xml:space="preserve">N745MB  </v>
      </c>
      <c r="BE310">
        <v>1</v>
      </c>
      <c r="BG310">
        <v>0</v>
      </c>
      <c r="BH310">
        <v>0</v>
      </c>
      <c r="BI310">
        <v>0</v>
      </c>
      <c r="BL310" t="s">
        <v>130</v>
      </c>
      <c r="BM310">
        <v>1</v>
      </c>
      <c r="BN310">
        <v>0</v>
      </c>
      <c r="BO310">
        <v>0</v>
      </c>
      <c r="BP310">
        <v>0</v>
      </c>
      <c r="BT310">
        <v>0</v>
      </c>
      <c r="BU310">
        <v>0</v>
      </c>
      <c r="CE310" t="str">
        <f>"20:20:50.965"</f>
        <v>20:20:50.965</v>
      </c>
      <c r="CF310">
        <v>965085510</v>
      </c>
      <c r="CS310">
        <v>0</v>
      </c>
      <c r="CT310">
        <v>2</v>
      </c>
      <c r="CU310">
        <v>0</v>
      </c>
      <c r="CV310">
        <v>2</v>
      </c>
      <c r="CW310">
        <v>0</v>
      </c>
      <c r="CX310">
        <v>2</v>
      </c>
      <c r="CY310">
        <v>7</v>
      </c>
      <c r="CZ310" t="s">
        <v>131</v>
      </c>
      <c r="DA310">
        <v>116</v>
      </c>
      <c r="DB310">
        <v>3</v>
      </c>
      <c r="DC310" t="s">
        <v>132</v>
      </c>
      <c r="DD310" t="s">
        <v>133</v>
      </c>
      <c r="DG310">
        <v>8245596</v>
      </c>
      <c r="DI310">
        <v>0</v>
      </c>
      <c r="DJ310">
        <v>0</v>
      </c>
      <c r="DK310">
        <v>1</v>
      </c>
      <c r="DL310">
        <v>0</v>
      </c>
      <c r="DM310">
        <v>0</v>
      </c>
      <c r="DN310">
        <v>0</v>
      </c>
      <c r="DO310">
        <v>0</v>
      </c>
      <c r="DP310">
        <v>1</v>
      </c>
      <c r="DQ310">
        <v>0</v>
      </c>
      <c r="DR310">
        <v>0</v>
      </c>
      <c r="DS310">
        <v>0</v>
      </c>
    </row>
    <row r="311" spans="1:123" x14ac:dyDescent="0.25">
      <c r="A311" t="str">
        <f>"11/29/2023 20:20:51.398"</f>
        <v>11/29/2023 20:20:51.398</v>
      </c>
      <c r="C311" t="str">
        <f t="shared" si="41"/>
        <v>FFDF53C0</v>
      </c>
      <c r="D311" t="s">
        <v>135</v>
      </c>
      <c r="E311">
        <v>31</v>
      </c>
      <c r="H311">
        <v>285</v>
      </c>
      <c r="I311" t="s">
        <v>136</v>
      </c>
      <c r="J311" t="s">
        <v>137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"20:20:50.961"</f>
        <v>20:20:50.961</v>
      </c>
      <c r="T311" t="str">
        <f>"20:20:50.861"</f>
        <v>20:20:50.861</v>
      </c>
      <c r="U311" t="str">
        <f t="shared" si="37"/>
        <v>AA0632</v>
      </c>
      <c r="V311">
        <v>0</v>
      </c>
      <c r="W311">
        <v>0</v>
      </c>
      <c r="X311">
        <v>2</v>
      </c>
      <c r="Y311">
        <v>0</v>
      </c>
      <c r="AA311">
        <v>0</v>
      </c>
      <c r="AB311">
        <v>9</v>
      </c>
      <c r="AC311">
        <v>3</v>
      </c>
      <c r="AD311">
        <v>0</v>
      </c>
      <c r="AE311">
        <v>10</v>
      </c>
      <c r="AF311" t="s">
        <v>126</v>
      </c>
      <c r="AG311">
        <v>0</v>
      </c>
      <c r="AH311">
        <v>0</v>
      </c>
      <c r="AI311">
        <v>2</v>
      </c>
      <c r="AJ311">
        <v>0</v>
      </c>
      <c r="AK311" t="s">
        <v>286</v>
      </c>
      <c r="AL311">
        <v>31.960301000000001</v>
      </c>
      <c r="AM311" t="s">
        <v>287</v>
      </c>
      <c r="AN311">
        <v>-101.12949399999999</v>
      </c>
      <c r="AQ311" t="s">
        <v>129</v>
      </c>
      <c r="AR311">
        <v>84</v>
      </c>
      <c r="AS311">
        <v>-25</v>
      </c>
      <c r="AT311">
        <v>-128</v>
      </c>
      <c r="BB311" t="str">
        <f t="shared" si="38"/>
        <v>1200</v>
      </c>
      <c r="BC311">
        <v>1</v>
      </c>
      <c r="BD311" t="str">
        <f t="shared" si="39"/>
        <v xml:space="preserve">N745MB  </v>
      </c>
      <c r="BE311">
        <v>1</v>
      </c>
      <c r="BG311">
        <v>0</v>
      </c>
      <c r="BH311">
        <v>0</v>
      </c>
      <c r="BI311">
        <v>0</v>
      </c>
      <c r="BL311" t="s">
        <v>130</v>
      </c>
      <c r="BM311">
        <v>1</v>
      </c>
      <c r="BN311">
        <v>0</v>
      </c>
      <c r="BO311">
        <v>0</v>
      </c>
      <c r="BP311">
        <v>0</v>
      </c>
      <c r="BT311">
        <v>0</v>
      </c>
      <c r="BU311">
        <v>0</v>
      </c>
      <c r="CE311" t="str">
        <f>"20:20:50.965"</f>
        <v>20:20:50.965</v>
      </c>
      <c r="CF311">
        <v>965085510</v>
      </c>
      <c r="CS311">
        <v>0</v>
      </c>
      <c r="CT311">
        <v>2</v>
      </c>
      <c r="CU311">
        <v>0</v>
      </c>
      <c r="CV311">
        <v>2</v>
      </c>
      <c r="CW311">
        <v>0</v>
      </c>
      <c r="CX311">
        <v>2</v>
      </c>
      <c r="CY311">
        <v>7</v>
      </c>
      <c r="CZ311" t="s">
        <v>131</v>
      </c>
      <c r="DA311">
        <v>116</v>
      </c>
      <c r="DB311">
        <v>3</v>
      </c>
      <c r="DC311" t="s">
        <v>132</v>
      </c>
      <c r="DD311" t="s">
        <v>133</v>
      </c>
      <c r="DG311">
        <v>8245596</v>
      </c>
      <c r="DI311">
        <v>0</v>
      </c>
      <c r="DJ311">
        <v>0</v>
      </c>
      <c r="DK311">
        <v>1</v>
      </c>
      <c r="DL311">
        <v>0</v>
      </c>
      <c r="DM311">
        <v>0</v>
      </c>
      <c r="DN311">
        <v>0</v>
      </c>
      <c r="DO311">
        <v>0</v>
      </c>
      <c r="DP311">
        <v>1</v>
      </c>
      <c r="DQ311">
        <v>0</v>
      </c>
      <c r="DR311">
        <v>0</v>
      </c>
      <c r="DS311">
        <v>0</v>
      </c>
    </row>
    <row r="312" spans="1:123" x14ac:dyDescent="0.25">
      <c r="A312" t="str">
        <f>"11/29/2023 20:20:52.414"</f>
        <v>11/29/2023 20:20:52.414</v>
      </c>
      <c r="C312" t="str">
        <f t="shared" si="41"/>
        <v>FFDF53C0</v>
      </c>
      <c r="D312" t="s">
        <v>123</v>
      </c>
      <c r="E312">
        <v>1</v>
      </c>
      <c r="F312">
        <v>1001</v>
      </c>
      <c r="G312" t="s">
        <v>134</v>
      </c>
      <c r="J312" t="s">
        <v>125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 t="shared" ref="S312:T315" si="42">"20:20:52.047"</f>
        <v>20:20:52.047</v>
      </c>
      <c r="T312" t="str">
        <f t="shared" si="42"/>
        <v>20:20:52.047</v>
      </c>
      <c r="U312" t="str">
        <f t="shared" si="37"/>
        <v>AA0632</v>
      </c>
      <c r="V312">
        <v>0</v>
      </c>
      <c r="W312">
        <v>0</v>
      </c>
      <c r="X312">
        <v>2</v>
      </c>
      <c r="Y312">
        <v>0</v>
      </c>
      <c r="AA312">
        <v>0</v>
      </c>
      <c r="AB312">
        <v>9</v>
      </c>
      <c r="AC312">
        <v>3</v>
      </c>
      <c r="AD312">
        <v>0</v>
      </c>
      <c r="AE312">
        <v>10</v>
      </c>
      <c r="AF312" t="s">
        <v>126</v>
      </c>
      <c r="AG312">
        <v>0</v>
      </c>
      <c r="AH312">
        <v>0</v>
      </c>
      <c r="AI312">
        <v>2</v>
      </c>
      <c r="AJ312">
        <v>0</v>
      </c>
      <c r="AK312" t="s">
        <v>288</v>
      </c>
      <c r="AL312">
        <v>31.960151</v>
      </c>
      <c r="AM312" t="s">
        <v>289</v>
      </c>
      <c r="AN312">
        <v>-101.128979</v>
      </c>
      <c r="AQ312" t="s">
        <v>129</v>
      </c>
      <c r="AR312">
        <v>83</v>
      </c>
      <c r="AS312">
        <v>-27</v>
      </c>
      <c r="AT312">
        <v>-320</v>
      </c>
      <c r="BB312" t="str">
        <f t="shared" si="38"/>
        <v>1200</v>
      </c>
      <c r="BC312">
        <v>1</v>
      </c>
      <c r="BD312" t="str">
        <f t="shared" si="39"/>
        <v xml:space="preserve">N745MB  </v>
      </c>
      <c r="BE312">
        <v>1</v>
      </c>
      <c r="BG312">
        <v>0</v>
      </c>
      <c r="BH312">
        <v>0</v>
      </c>
      <c r="BI312">
        <v>0</v>
      </c>
      <c r="BL312" t="s">
        <v>130</v>
      </c>
      <c r="BM312">
        <v>1</v>
      </c>
      <c r="BN312">
        <v>0</v>
      </c>
      <c r="BO312">
        <v>0</v>
      </c>
      <c r="BP312">
        <v>0</v>
      </c>
      <c r="BT312">
        <v>0</v>
      </c>
      <c r="BU312">
        <v>0</v>
      </c>
      <c r="CE312" t="str">
        <f>"20:20:52.047"</f>
        <v>20:20:52.047</v>
      </c>
      <c r="CF312">
        <v>47013939</v>
      </c>
      <c r="CS312">
        <v>0</v>
      </c>
      <c r="CT312">
        <v>2</v>
      </c>
      <c r="CU312">
        <v>0</v>
      </c>
      <c r="CV312">
        <v>2</v>
      </c>
      <c r="CW312">
        <v>0</v>
      </c>
      <c r="CX312">
        <v>2</v>
      </c>
      <c r="CY312">
        <v>7</v>
      </c>
      <c r="CZ312" t="s">
        <v>131</v>
      </c>
      <c r="DA312">
        <v>116</v>
      </c>
      <c r="DB312">
        <v>3</v>
      </c>
      <c r="DC312" t="s">
        <v>132</v>
      </c>
      <c r="DD312" t="s">
        <v>133</v>
      </c>
      <c r="DG312">
        <v>8246247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1</v>
      </c>
      <c r="DQ312">
        <v>0</v>
      </c>
      <c r="DR312">
        <v>0</v>
      </c>
      <c r="DS312">
        <v>0</v>
      </c>
    </row>
    <row r="313" spans="1:123" x14ac:dyDescent="0.25">
      <c r="A313" t="str">
        <f>"11/29/2023 20:20:52.461"</f>
        <v>11/29/2023 20:20:52.461</v>
      </c>
      <c r="C313" t="str">
        <f t="shared" si="41"/>
        <v>FFDF53C0</v>
      </c>
      <c r="D313" t="s">
        <v>135</v>
      </c>
      <c r="E313">
        <v>31</v>
      </c>
      <c r="H313">
        <v>285</v>
      </c>
      <c r="I313" t="s">
        <v>136</v>
      </c>
      <c r="J313" t="s">
        <v>137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 t="shared" si="42"/>
        <v>20:20:52.047</v>
      </c>
      <c r="T313" t="str">
        <f t="shared" si="42"/>
        <v>20:20:52.047</v>
      </c>
      <c r="U313" t="str">
        <f t="shared" si="37"/>
        <v>AA0632</v>
      </c>
      <c r="V313">
        <v>0</v>
      </c>
      <c r="W313">
        <v>0</v>
      </c>
      <c r="X313">
        <v>2</v>
      </c>
      <c r="Y313">
        <v>0</v>
      </c>
      <c r="AA313">
        <v>0</v>
      </c>
      <c r="AB313">
        <v>9</v>
      </c>
      <c r="AC313">
        <v>3</v>
      </c>
      <c r="AD313">
        <v>0</v>
      </c>
      <c r="AE313">
        <v>10</v>
      </c>
      <c r="AF313" t="s">
        <v>126</v>
      </c>
      <c r="AG313">
        <v>0</v>
      </c>
      <c r="AH313">
        <v>0</v>
      </c>
      <c r="AI313">
        <v>2</v>
      </c>
      <c r="AJ313">
        <v>0</v>
      </c>
      <c r="AK313" t="s">
        <v>288</v>
      </c>
      <c r="AL313">
        <v>31.960151</v>
      </c>
      <c r="AM313" t="s">
        <v>289</v>
      </c>
      <c r="AN313">
        <v>-101.128979</v>
      </c>
      <c r="AQ313" t="s">
        <v>129</v>
      </c>
      <c r="AR313">
        <v>83</v>
      </c>
      <c r="AS313">
        <v>-27</v>
      </c>
      <c r="AT313">
        <v>-320</v>
      </c>
      <c r="BB313" t="str">
        <f t="shared" si="38"/>
        <v>1200</v>
      </c>
      <c r="BC313">
        <v>1</v>
      </c>
      <c r="BD313" t="str">
        <f t="shared" si="39"/>
        <v xml:space="preserve">N745MB  </v>
      </c>
      <c r="BE313">
        <v>1</v>
      </c>
      <c r="BG313">
        <v>0</v>
      </c>
      <c r="BH313">
        <v>0</v>
      </c>
      <c r="BI313">
        <v>0</v>
      </c>
      <c r="BL313" t="s">
        <v>130</v>
      </c>
      <c r="BM313">
        <v>1</v>
      </c>
      <c r="BN313">
        <v>0</v>
      </c>
      <c r="BO313">
        <v>0</v>
      </c>
      <c r="BP313">
        <v>0</v>
      </c>
      <c r="BT313">
        <v>0</v>
      </c>
      <c r="BU313">
        <v>0</v>
      </c>
      <c r="CE313" t="str">
        <f>"20:20:52.047"</f>
        <v>20:20:52.047</v>
      </c>
      <c r="CF313">
        <v>47013939</v>
      </c>
      <c r="CS313">
        <v>0</v>
      </c>
      <c r="CT313">
        <v>2</v>
      </c>
      <c r="CU313">
        <v>0</v>
      </c>
      <c r="CV313">
        <v>2</v>
      </c>
      <c r="CW313">
        <v>0</v>
      </c>
      <c r="CX313">
        <v>2</v>
      </c>
      <c r="CY313">
        <v>7</v>
      </c>
      <c r="CZ313" t="s">
        <v>131</v>
      </c>
      <c r="DA313">
        <v>116</v>
      </c>
      <c r="DB313">
        <v>3</v>
      </c>
      <c r="DC313" t="s">
        <v>132</v>
      </c>
      <c r="DD313" t="s">
        <v>133</v>
      </c>
      <c r="DG313">
        <v>8246247</v>
      </c>
      <c r="DI313">
        <v>0</v>
      </c>
      <c r="DJ313">
        <v>0</v>
      </c>
      <c r="DK313">
        <v>1</v>
      </c>
      <c r="DL313">
        <v>0</v>
      </c>
      <c r="DM313">
        <v>0</v>
      </c>
      <c r="DN313">
        <v>0</v>
      </c>
      <c r="DO313">
        <v>0</v>
      </c>
      <c r="DP313">
        <v>1</v>
      </c>
      <c r="DQ313">
        <v>0</v>
      </c>
      <c r="DR313">
        <v>0</v>
      </c>
      <c r="DS313">
        <v>0</v>
      </c>
    </row>
    <row r="314" spans="1:123" x14ac:dyDescent="0.25">
      <c r="A314" t="str">
        <f>"11/29/2023 20:20:52.461"</f>
        <v>11/29/2023 20:20:52.461</v>
      </c>
      <c r="C314" t="str">
        <f t="shared" si="41"/>
        <v>FFDF53C0</v>
      </c>
      <c r="D314" t="s">
        <v>123</v>
      </c>
      <c r="E314">
        <v>14</v>
      </c>
      <c r="F314">
        <v>1014</v>
      </c>
      <c r="G314" t="s">
        <v>124</v>
      </c>
      <c r="J314" t="s">
        <v>125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 t="shared" si="42"/>
        <v>20:20:52.047</v>
      </c>
      <c r="T314" t="str">
        <f t="shared" si="42"/>
        <v>20:20:52.047</v>
      </c>
      <c r="U314" t="str">
        <f t="shared" si="37"/>
        <v>AA0632</v>
      </c>
      <c r="V314">
        <v>0</v>
      </c>
      <c r="W314">
        <v>0</v>
      </c>
      <c r="X314">
        <v>2</v>
      </c>
      <c r="Y314">
        <v>0</v>
      </c>
      <c r="AA314">
        <v>0</v>
      </c>
      <c r="AB314">
        <v>9</v>
      </c>
      <c r="AC314">
        <v>3</v>
      </c>
      <c r="AD314">
        <v>0</v>
      </c>
      <c r="AE314">
        <v>10</v>
      </c>
      <c r="AF314" t="s">
        <v>126</v>
      </c>
      <c r="AG314">
        <v>0</v>
      </c>
      <c r="AH314">
        <v>0</v>
      </c>
      <c r="AI314">
        <v>2</v>
      </c>
      <c r="AJ314">
        <v>0</v>
      </c>
      <c r="AK314" t="s">
        <v>288</v>
      </c>
      <c r="AL314">
        <v>31.960151</v>
      </c>
      <c r="AM314" t="s">
        <v>289</v>
      </c>
      <c r="AN314">
        <v>-101.128979</v>
      </c>
      <c r="AQ314" t="s">
        <v>129</v>
      </c>
      <c r="AR314">
        <v>83</v>
      </c>
      <c r="AS314">
        <v>-27</v>
      </c>
      <c r="AT314">
        <v>-320</v>
      </c>
      <c r="BB314" t="str">
        <f t="shared" si="38"/>
        <v>1200</v>
      </c>
      <c r="BC314">
        <v>1</v>
      </c>
      <c r="BD314" t="str">
        <f t="shared" si="39"/>
        <v xml:space="preserve">N745MB  </v>
      </c>
      <c r="BE314">
        <v>1</v>
      </c>
      <c r="BG314">
        <v>0</v>
      </c>
      <c r="BH314">
        <v>0</v>
      </c>
      <c r="BI314">
        <v>0</v>
      </c>
      <c r="BL314" t="s">
        <v>130</v>
      </c>
      <c r="BM314">
        <v>1</v>
      </c>
      <c r="BN314">
        <v>0</v>
      </c>
      <c r="BO314">
        <v>0</v>
      </c>
      <c r="BP314">
        <v>0</v>
      </c>
      <c r="BT314">
        <v>0</v>
      </c>
      <c r="BU314">
        <v>0</v>
      </c>
      <c r="CE314" t="str">
        <f>"20:20:52.047"</f>
        <v>20:20:52.047</v>
      </c>
      <c r="CF314">
        <v>47013939</v>
      </c>
      <c r="CS314">
        <v>0</v>
      </c>
      <c r="CT314">
        <v>2</v>
      </c>
      <c r="CU314">
        <v>0</v>
      </c>
      <c r="CV314">
        <v>2</v>
      </c>
      <c r="CW314">
        <v>0</v>
      </c>
      <c r="CX314">
        <v>2</v>
      </c>
      <c r="CY314">
        <v>7</v>
      </c>
      <c r="CZ314" t="s">
        <v>131</v>
      </c>
      <c r="DA314">
        <v>116</v>
      </c>
      <c r="DB314">
        <v>3</v>
      </c>
      <c r="DC314" t="s">
        <v>132</v>
      </c>
      <c r="DD314" t="s">
        <v>133</v>
      </c>
      <c r="DG314">
        <v>8246247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1</v>
      </c>
      <c r="DQ314">
        <v>0</v>
      </c>
      <c r="DR314">
        <v>0</v>
      </c>
      <c r="DS314">
        <v>0</v>
      </c>
    </row>
    <row r="315" spans="1:123" x14ac:dyDescent="0.25">
      <c r="A315" t="str">
        <f>"11/29/2023 20:20:52.461"</f>
        <v>11/29/2023 20:20:52.461</v>
      </c>
      <c r="C315" t="str">
        <f t="shared" si="41"/>
        <v>FFDF53C0</v>
      </c>
      <c r="D315" t="s">
        <v>138</v>
      </c>
      <c r="E315">
        <v>3</v>
      </c>
      <c r="H315">
        <v>160</v>
      </c>
      <c r="I315" t="s">
        <v>124</v>
      </c>
      <c r="J315" t="s">
        <v>139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 t="shared" si="42"/>
        <v>20:20:52.047</v>
      </c>
      <c r="T315" t="str">
        <f t="shared" si="42"/>
        <v>20:20:52.047</v>
      </c>
      <c r="U315" t="str">
        <f t="shared" si="37"/>
        <v>AA0632</v>
      </c>
      <c r="V315">
        <v>0</v>
      </c>
      <c r="W315">
        <v>0</v>
      </c>
      <c r="X315">
        <v>2</v>
      </c>
      <c r="Y315">
        <v>0</v>
      </c>
      <c r="AA315">
        <v>0</v>
      </c>
      <c r="AB315">
        <v>9</v>
      </c>
      <c r="AC315">
        <v>3</v>
      </c>
      <c r="AD315">
        <v>0</v>
      </c>
      <c r="AE315">
        <v>10</v>
      </c>
      <c r="AF315" t="s">
        <v>126</v>
      </c>
      <c r="AG315">
        <v>0</v>
      </c>
      <c r="AH315">
        <v>0</v>
      </c>
      <c r="AI315">
        <v>2</v>
      </c>
      <c r="AJ315">
        <v>0</v>
      </c>
      <c r="AK315" t="s">
        <v>288</v>
      </c>
      <c r="AL315">
        <v>31.960151</v>
      </c>
      <c r="AM315" t="s">
        <v>289</v>
      </c>
      <c r="AN315">
        <v>-101.128979</v>
      </c>
      <c r="AQ315" t="s">
        <v>129</v>
      </c>
      <c r="AR315">
        <v>83</v>
      </c>
      <c r="AS315">
        <v>-27</v>
      </c>
      <c r="AT315">
        <v>-320</v>
      </c>
      <c r="BB315" t="str">
        <f t="shared" si="38"/>
        <v>1200</v>
      </c>
      <c r="BC315">
        <v>1</v>
      </c>
      <c r="BD315" t="str">
        <f t="shared" si="39"/>
        <v xml:space="preserve">N745MB  </v>
      </c>
      <c r="BE315">
        <v>1</v>
      </c>
      <c r="BG315">
        <v>0</v>
      </c>
      <c r="BH315">
        <v>0</v>
      </c>
      <c r="BI315">
        <v>0</v>
      </c>
      <c r="BL315" t="s">
        <v>130</v>
      </c>
      <c r="BM315">
        <v>1</v>
      </c>
      <c r="BN315">
        <v>0</v>
      </c>
      <c r="BO315">
        <v>0</v>
      </c>
      <c r="BP315">
        <v>0</v>
      </c>
      <c r="BT315">
        <v>0</v>
      </c>
      <c r="BU315">
        <v>0</v>
      </c>
      <c r="CE315" t="str">
        <f>"20:20:52.047"</f>
        <v>20:20:52.047</v>
      </c>
      <c r="CF315">
        <v>47013939</v>
      </c>
      <c r="CS315">
        <v>0</v>
      </c>
      <c r="CT315">
        <v>2</v>
      </c>
      <c r="CU315">
        <v>0</v>
      </c>
      <c r="CV315">
        <v>2</v>
      </c>
      <c r="CW315">
        <v>0</v>
      </c>
      <c r="CX315">
        <v>2</v>
      </c>
      <c r="CY315">
        <v>7</v>
      </c>
      <c r="CZ315" t="s">
        <v>131</v>
      </c>
      <c r="DA315">
        <v>116</v>
      </c>
      <c r="DB315">
        <v>3</v>
      </c>
      <c r="DC315" t="s">
        <v>132</v>
      </c>
      <c r="DD315" t="s">
        <v>133</v>
      </c>
      <c r="DG315">
        <v>8246247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1</v>
      </c>
      <c r="DQ315">
        <v>0</v>
      </c>
      <c r="DR315">
        <v>0</v>
      </c>
      <c r="DS315">
        <v>0</v>
      </c>
    </row>
    <row r="316" spans="1:123" x14ac:dyDescent="0.25">
      <c r="A316" t="str">
        <f>"11/29/2023 20:20:53.383"</f>
        <v>11/29/2023 20:20:53.383</v>
      </c>
      <c r="C316" t="str">
        <f t="shared" si="41"/>
        <v>FFDF53C0</v>
      </c>
      <c r="D316" t="s">
        <v>135</v>
      </c>
      <c r="E316">
        <v>31</v>
      </c>
      <c r="H316">
        <v>285</v>
      </c>
      <c r="I316" t="s">
        <v>136</v>
      </c>
      <c r="J316" t="s">
        <v>137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"20:20:53.070"</f>
        <v>20:20:53.070</v>
      </c>
      <c r="T316" t="str">
        <f>"20:20:52.970"</f>
        <v>20:20:52.970</v>
      </c>
      <c r="U316" t="str">
        <f t="shared" si="37"/>
        <v>AA0632</v>
      </c>
      <c r="V316">
        <v>0</v>
      </c>
      <c r="W316">
        <v>0</v>
      </c>
      <c r="X316">
        <v>2</v>
      </c>
      <c r="Y316">
        <v>0</v>
      </c>
      <c r="AA316">
        <v>0</v>
      </c>
      <c r="AB316">
        <v>9</v>
      </c>
      <c r="AC316">
        <v>3</v>
      </c>
      <c r="AD316">
        <v>0</v>
      </c>
      <c r="AE316">
        <v>10</v>
      </c>
      <c r="AF316" t="s">
        <v>126</v>
      </c>
      <c r="AG316">
        <v>0</v>
      </c>
      <c r="AH316">
        <v>0</v>
      </c>
      <c r="AI316">
        <v>2</v>
      </c>
      <c r="AJ316">
        <v>0</v>
      </c>
      <c r="AK316" t="s">
        <v>290</v>
      </c>
      <c r="AL316">
        <v>31.960000999999998</v>
      </c>
      <c r="AM316" t="s">
        <v>291</v>
      </c>
      <c r="AN316">
        <v>-101.12855</v>
      </c>
      <c r="AQ316" t="s">
        <v>129</v>
      </c>
      <c r="AR316">
        <v>82</v>
      </c>
      <c r="AS316">
        <v>-29</v>
      </c>
      <c r="AT316">
        <v>-320</v>
      </c>
      <c r="BB316" t="str">
        <f t="shared" si="38"/>
        <v>1200</v>
      </c>
      <c r="BC316">
        <v>1</v>
      </c>
      <c r="BD316" t="str">
        <f t="shared" si="39"/>
        <v xml:space="preserve">N745MB  </v>
      </c>
      <c r="BE316">
        <v>1</v>
      </c>
      <c r="BG316">
        <v>0</v>
      </c>
      <c r="BH316">
        <v>0</v>
      </c>
      <c r="BI316">
        <v>0</v>
      </c>
      <c r="BL316" t="s">
        <v>130</v>
      </c>
      <c r="BM316">
        <v>1</v>
      </c>
      <c r="BN316">
        <v>0</v>
      </c>
      <c r="BO316">
        <v>0</v>
      </c>
      <c r="BP316">
        <v>0</v>
      </c>
      <c r="BT316">
        <v>0</v>
      </c>
      <c r="BU316">
        <v>0</v>
      </c>
      <c r="CE316" t="str">
        <f>"20:20:53.077"</f>
        <v>20:20:53.077</v>
      </c>
      <c r="CF316">
        <v>76941333</v>
      </c>
      <c r="CS316">
        <v>0</v>
      </c>
      <c r="CT316">
        <v>2</v>
      </c>
      <c r="CU316">
        <v>0</v>
      </c>
      <c r="CV316">
        <v>2</v>
      </c>
      <c r="CW316">
        <v>0</v>
      </c>
      <c r="CX316">
        <v>2</v>
      </c>
      <c r="CY316">
        <v>7</v>
      </c>
      <c r="CZ316" t="s">
        <v>131</v>
      </c>
      <c r="DA316">
        <v>116</v>
      </c>
      <c r="DB316">
        <v>3</v>
      </c>
      <c r="DC316" t="s">
        <v>132</v>
      </c>
      <c r="DD316" t="s">
        <v>133</v>
      </c>
      <c r="DG316">
        <v>8246826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1</v>
      </c>
      <c r="DQ316">
        <v>0</v>
      </c>
      <c r="DR316">
        <v>0</v>
      </c>
      <c r="DS316">
        <v>0</v>
      </c>
    </row>
    <row r="317" spans="1:123" x14ac:dyDescent="0.25">
      <c r="A317" t="str">
        <f>"11/29/2023 20:20:53.414"</f>
        <v>11/29/2023 20:20:53.414</v>
      </c>
      <c r="C317" t="str">
        <f t="shared" si="41"/>
        <v>FFDF53C0</v>
      </c>
      <c r="D317" t="s">
        <v>123</v>
      </c>
      <c r="E317">
        <v>14</v>
      </c>
      <c r="F317">
        <v>1014</v>
      </c>
      <c r="G317" t="s">
        <v>124</v>
      </c>
      <c r="J317" t="s">
        <v>125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"20:20:53.070"</f>
        <v>20:20:53.070</v>
      </c>
      <c r="T317" t="str">
        <f>"20:20:52.970"</f>
        <v>20:20:52.970</v>
      </c>
      <c r="U317" t="str">
        <f t="shared" si="37"/>
        <v>AA0632</v>
      </c>
      <c r="V317">
        <v>0</v>
      </c>
      <c r="W317">
        <v>0</v>
      </c>
      <c r="X317">
        <v>2</v>
      </c>
      <c r="Y317">
        <v>0</v>
      </c>
      <c r="AA317">
        <v>0</v>
      </c>
      <c r="AB317">
        <v>9</v>
      </c>
      <c r="AC317">
        <v>3</v>
      </c>
      <c r="AD317">
        <v>0</v>
      </c>
      <c r="AE317">
        <v>10</v>
      </c>
      <c r="AF317" t="s">
        <v>126</v>
      </c>
      <c r="AG317">
        <v>0</v>
      </c>
      <c r="AH317">
        <v>0</v>
      </c>
      <c r="AI317">
        <v>2</v>
      </c>
      <c r="AJ317">
        <v>0</v>
      </c>
      <c r="AK317" t="s">
        <v>290</v>
      </c>
      <c r="AL317">
        <v>31.960000999999998</v>
      </c>
      <c r="AM317" t="s">
        <v>291</v>
      </c>
      <c r="AN317">
        <v>-101.12855</v>
      </c>
      <c r="AQ317" t="s">
        <v>129</v>
      </c>
      <c r="AR317">
        <v>82</v>
      </c>
      <c r="AS317">
        <v>-29</v>
      </c>
      <c r="AT317">
        <v>-320</v>
      </c>
      <c r="BB317" t="str">
        <f t="shared" si="38"/>
        <v>1200</v>
      </c>
      <c r="BC317">
        <v>1</v>
      </c>
      <c r="BD317" t="str">
        <f t="shared" si="39"/>
        <v xml:space="preserve">N745MB  </v>
      </c>
      <c r="BE317">
        <v>1</v>
      </c>
      <c r="BG317">
        <v>0</v>
      </c>
      <c r="BH317">
        <v>0</v>
      </c>
      <c r="BI317">
        <v>0</v>
      </c>
      <c r="BL317" t="s">
        <v>130</v>
      </c>
      <c r="BM317">
        <v>1</v>
      </c>
      <c r="BN317">
        <v>0</v>
      </c>
      <c r="BO317">
        <v>0</v>
      </c>
      <c r="BP317">
        <v>0</v>
      </c>
      <c r="BT317">
        <v>0</v>
      </c>
      <c r="BU317">
        <v>0</v>
      </c>
      <c r="CE317" t="str">
        <f>"20:20:53.077"</f>
        <v>20:20:53.077</v>
      </c>
      <c r="CF317">
        <v>76941333</v>
      </c>
      <c r="CS317">
        <v>0</v>
      </c>
      <c r="CT317">
        <v>2</v>
      </c>
      <c r="CU317">
        <v>0</v>
      </c>
      <c r="CV317">
        <v>2</v>
      </c>
      <c r="CW317">
        <v>0</v>
      </c>
      <c r="CX317">
        <v>2</v>
      </c>
      <c r="CY317">
        <v>7</v>
      </c>
      <c r="CZ317" t="s">
        <v>131</v>
      </c>
      <c r="DA317">
        <v>116</v>
      </c>
      <c r="DB317">
        <v>3</v>
      </c>
      <c r="DC317" t="s">
        <v>132</v>
      </c>
      <c r="DD317" t="s">
        <v>133</v>
      </c>
      <c r="DG317">
        <v>8246826</v>
      </c>
      <c r="DI317">
        <v>0</v>
      </c>
      <c r="DJ317">
        <v>0</v>
      </c>
      <c r="DK317">
        <v>1</v>
      </c>
      <c r="DL317">
        <v>0</v>
      </c>
      <c r="DM317">
        <v>0</v>
      </c>
      <c r="DN317">
        <v>0</v>
      </c>
      <c r="DO317">
        <v>0</v>
      </c>
      <c r="DP317">
        <v>1</v>
      </c>
      <c r="DQ317">
        <v>0</v>
      </c>
      <c r="DR317">
        <v>0</v>
      </c>
      <c r="DS317">
        <v>0</v>
      </c>
    </row>
    <row r="318" spans="1:123" x14ac:dyDescent="0.25">
      <c r="A318" t="str">
        <f>"11/29/2023 20:20:53.414"</f>
        <v>11/29/2023 20:20:53.414</v>
      </c>
      <c r="C318" t="str">
        <f t="shared" si="41"/>
        <v>FFDF53C0</v>
      </c>
      <c r="D318" t="s">
        <v>138</v>
      </c>
      <c r="E318">
        <v>3</v>
      </c>
      <c r="H318">
        <v>160</v>
      </c>
      <c r="I318" t="s">
        <v>124</v>
      </c>
      <c r="J318" t="s">
        <v>139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"20:20:53.070"</f>
        <v>20:20:53.070</v>
      </c>
      <c r="T318" t="str">
        <f>"20:20:52.970"</f>
        <v>20:20:52.970</v>
      </c>
      <c r="U318" t="str">
        <f t="shared" si="37"/>
        <v>AA0632</v>
      </c>
      <c r="V318">
        <v>0</v>
      </c>
      <c r="W318">
        <v>0</v>
      </c>
      <c r="X318">
        <v>2</v>
      </c>
      <c r="Y318">
        <v>0</v>
      </c>
      <c r="AA318">
        <v>0</v>
      </c>
      <c r="AB318">
        <v>9</v>
      </c>
      <c r="AC318">
        <v>3</v>
      </c>
      <c r="AD318">
        <v>0</v>
      </c>
      <c r="AE318">
        <v>10</v>
      </c>
      <c r="AF318" t="s">
        <v>126</v>
      </c>
      <c r="AG318">
        <v>0</v>
      </c>
      <c r="AH318">
        <v>0</v>
      </c>
      <c r="AI318">
        <v>2</v>
      </c>
      <c r="AJ318">
        <v>0</v>
      </c>
      <c r="AK318" t="s">
        <v>290</v>
      </c>
      <c r="AL318">
        <v>31.960000999999998</v>
      </c>
      <c r="AM318" t="s">
        <v>291</v>
      </c>
      <c r="AN318">
        <v>-101.12855</v>
      </c>
      <c r="AQ318" t="s">
        <v>129</v>
      </c>
      <c r="AR318">
        <v>82</v>
      </c>
      <c r="AS318">
        <v>-29</v>
      </c>
      <c r="AT318">
        <v>-320</v>
      </c>
      <c r="BB318" t="str">
        <f t="shared" si="38"/>
        <v>1200</v>
      </c>
      <c r="BC318">
        <v>1</v>
      </c>
      <c r="BD318" t="str">
        <f t="shared" si="39"/>
        <v xml:space="preserve">N745MB  </v>
      </c>
      <c r="BE318">
        <v>1</v>
      </c>
      <c r="BG318">
        <v>0</v>
      </c>
      <c r="BH318">
        <v>0</v>
      </c>
      <c r="BI318">
        <v>0</v>
      </c>
      <c r="BL318" t="s">
        <v>130</v>
      </c>
      <c r="BM318">
        <v>1</v>
      </c>
      <c r="BN318">
        <v>0</v>
      </c>
      <c r="BO318">
        <v>0</v>
      </c>
      <c r="BP318">
        <v>0</v>
      </c>
      <c r="BT318">
        <v>0</v>
      </c>
      <c r="BU318">
        <v>0</v>
      </c>
      <c r="CE318" t="str">
        <f>"20:20:53.077"</f>
        <v>20:20:53.077</v>
      </c>
      <c r="CF318">
        <v>76941333</v>
      </c>
      <c r="CS318">
        <v>0</v>
      </c>
      <c r="CT318">
        <v>2</v>
      </c>
      <c r="CU318">
        <v>0</v>
      </c>
      <c r="CV318">
        <v>2</v>
      </c>
      <c r="CW318">
        <v>0</v>
      </c>
      <c r="CX318">
        <v>2</v>
      </c>
      <c r="CY318">
        <v>7</v>
      </c>
      <c r="CZ318" t="s">
        <v>131</v>
      </c>
      <c r="DA318">
        <v>116</v>
      </c>
      <c r="DB318">
        <v>3</v>
      </c>
      <c r="DC318" t="s">
        <v>132</v>
      </c>
      <c r="DD318" t="s">
        <v>133</v>
      </c>
      <c r="DG318">
        <v>8246826</v>
      </c>
      <c r="DI318">
        <v>0</v>
      </c>
      <c r="DJ318">
        <v>0</v>
      </c>
      <c r="DK318">
        <v>1</v>
      </c>
      <c r="DL318">
        <v>0</v>
      </c>
      <c r="DM318">
        <v>0</v>
      </c>
      <c r="DN318">
        <v>0</v>
      </c>
      <c r="DO318">
        <v>0</v>
      </c>
      <c r="DP318">
        <v>1</v>
      </c>
      <c r="DQ318">
        <v>0</v>
      </c>
      <c r="DR318">
        <v>0</v>
      </c>
      <c r="DS318">
        <v>0</v>
      </c>
    </row>
    <row r="319" spans="1:123" x14ac:dyDescent="0.25">
      <c r="A319" t="str">
        <f>"11/29/2023 20:20:53.414"</f>
        <v>11/29/2023 20:20:53.414</v>
      </c>
      <c r="C319" t="str">
        <f t="shared" si="41"/>
        <v>FFDF53C0</v>
      </c>
      <c r="D319" t="s">
        <v>123</v>
      </c>
      <c r="E319">
        <v>1</v>
      </c>
      <c r="F319">
        <v>1001</v>
      </c>
      <c r="G319" t="s">
        <v>134</v>
      </c>
      <c r="J319" t="s">
        <v>125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"20:20:53.070"</f>
        <v>20:20:53.070</v>
      </c>
      <c r="T319" t="str">
        <f>"20:20:52.970"</f>
        <v>20:20:52.970</v>
      </c>
      <c r="U319" t="str">
        <f t="shared" si="37"/>
        <v>AA0632</v>
      </c>
      <c r="V319">
        <v>0</v>
      </c>
      <c r="W319">
        <v>0</v>
      </c>
      <c r="X319">
        <v>2</v>
      </c>
      <c r="Y319">
        <v>0</v>
      </c>
      <c r="AA319">
        <v>0</v>
      </c>
      <c r="AB319">
        <v>9</v>
      </c>
      <c r="AC319">
        <v>3</v>
      </c>
      <c r="AD319">
        <v>0</v>
      </c>
      <c r="AE319">
        <v>10</v>
      </c>
      <c r="AF319" t="s">
        <v>126</v>
      </c>
      <c r="AG319">
        <v>0</v>
      </c>
      <c r="AH319">
        <v>0</v>
      </c>
      <c r="AI319">
        <v>2</v>
      </c>
      <c r="AJ319">
        <v>0</v>
      </c>
      <c r="AK319" t="s">
        <v>290</v>
      </c>
      <c r="AL319">
        <v>31.960000999999998</v>
      </c>
      <c r="AM319" t="s">
        <v>291</v>
      </c>
      <c r="AN319">
        <v>-101.12855</v>
      </c>
      <c r="AQ319" t="s">
        <v>129</v>
      </c>
      <c r="AR319">
        <v>82</v>
      </c>
      <c r="AS319">
        <v>-29</v>
      </c>
      <c r="AT319">
        <v>-320</v>
      </c>
      <c r="BB319" t="str">
        <f t="shared" si="38"/>
        <v>1200</v>
      </c>
      <c r="BC319">
        <v>1</v>
      </c>
      <c r="BD319" t="str">
        <f t="shared" si="39"/>
        <v xml:space="preserve">N745MB  </v>
      </c>
      <c r="BE319">
        <v>1</v>
      </c>
      <c r="BG319">
        <v>0</v>
      </c>
      <c r="BH319">
        <v>0</v>
      </c>
      <c r="BI319">
        <v>0</v>
      </c>
      <c r="BL319" t="s">
        <v>130</v>
      </c>
      <c r="BM319">
        <v>1</v>
      </c>
      <c r="BN319">
        <v>0</v>
      </c>
      <c r="BO319">
        <v>0</v>
      </c>
      <c r="BP319">
        <v>0</v>
      </c>
      <c r="BT319">
        <v>0</v>
      </c>
      <c r="BU319">
        <v>0</v>
      </c>
      <c r="CE319" t="str">
        <f>"20:20:53.077"</f>
        <v>20:20:53.077</v>
      </c>
      <c r="CF319">
        <v>76941333</v>
      </c>
      <c r="CS319">
        <v>0</v>
      </c>
      <c r="CT319">
        <v>2</v>
      </c>
      <c r="CU319">
        <v>0</v>
      </c>
      <c r="CV319">
        <v>2</v>
      </c>
      <c r="CW319">
        <v>0</v>
      </c>
      <c r="CX319">
        <v>2</v>
      </c>
      <c r="CY319">
        <v>7</v>
      </c>
      <c r="CZ319" t="s">
        <v>131</v>
      </c>
      <c r="DA319">
        <v>116</v>
      </c>
      <c r="DB319">
        <v>3</v>
      </c>
      <c r="DC319" t="s">
        <v>132</v>
      </c>
      <c r="DD319" t="s">
        <v>133</v>
      </c>
      <c r="DG319">
        <v>8246826</v>
      </c>
      <c r="DI319">
        <v>0</v>
      </c>
      <c r="DJ319">
        <v>0</v>
      </c>
      <c r="DK319">
        <v>1</v>
      </c>
      <c r="DL319">
        <v>0</v>
      </c>
      <c r="DM319">
        <v>0</v>
      </c>
      <c r="DN319">
        <v>0</v>
      </c>
      <c r="DO319">
        <v>0</v>
      </c>
      <c r="DP319">
        <v>1</v>
      </c>
      <c r="DQ319">
        <v>0</v>
      </c>
      <c r="DR319">
        <v>0</v>
      </c>
      <c r="DS319">
        <v>0</v>
      </c>
    </row>
    <row r="320" spans="1:123" x14ac:dyDescent="0.25">
      <c r="A320" t="str">
        <f>"11/29/2023 20:20:54.523"</f>
        <v>11/29/2023 20:20:54.523</v>
      </c>
      <c r="C320" t="str">
        <f t="shared" si="41"/>
        <v>FFDF53C0</v>
      </c>
      <c r="D320" t="s">
        <v>138</v>
      </c>
      <c r="E320">
        <v>3</v>
      </c>
      <c r="H320">
        <v>160</v>
      </c>
      <c r="I320" t="s">
        <v>124</v>
      </c>
      <c r="J320" t="s">
        <v>139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"20:20:54.141"</f>
        <v>20:20:54.141</v>
      </c>
      <c r="T320" t="str">
        <f>"20:20:53.541"</f>
        <v>20:20:53.541</v>
      </c>
      <c r="U320" t="str">
        <f t="shared" si="37"/>
        <v>AA0632</v>
      </c>
      <c r="V320">
        <v>0</v>
      </c>
      <c r="W320">
        <v>0</v>
      </c>
      <c r="X320">
        <v>2</v>
      </c>
      <c r="Y320">
        <v>0</v>
      </c>
      <c r="AA320">
        <v>0</v>
      </c>
      <c r="AB320">
        <v>9</v>
      </c>
      <c r="AC320">
        <v>3</v>
      </c>
      <c r="AD320">
        <v>0</v>
      </c>
      <c r="AE320">
        <v>10</v>
      </c>
      <c r="AF320" t="s">
        <v>126</v>
      </c>
      <c r="AG320">
        <v>0</v>
      </c>
      <c r="AH320">
        <v>0</v>
      </c>
      <c r="AI320">
        <v>2</v>
      </c>
      <c r="AJ320">
        <v>0</v>
      </c>
      <c r="AK320" t="s">
        <v>292</v>
      </c>
      <c r="AL320">
        <v>31.959872000000001</v>
      </c>
      <c r="AM320" t="s">
        <v>190</v>
      </c>
      <c r="AN320">
        <v>-101.128078</v>
      </c>
      <c r="AQ320" t="s">
        <v>129</v>
      </c>
      <c r="AR320">
        <v>82</v>
      </c>
      <c r="AS320">
        <v>-30</v>
      </c>
      <c r="AT320">
        <v>-256</v>
      </c>
      <c r="BB320" t="str">
        <f t="shared" si="38"/>
        <v>1200</v>
      </c>
      <c r="BC320">
        <v>1</v>
      </c>
      <c r="BD320" t="str">
        <f t="shared" si="39"/>
        <v xml:space="preserve">N745MB  </v>
      </c>
      <c r="BE320">
        <v>1</v>
      </c>
      <c r="BG320">
        <v>0</v>
      </c>
      <c r="BH320">
        <v>0</v>
      </c>
      <c r="BI320">
        <v>0</v>
      </c>
      <c r="BL320" t="s">
        <v>130</v>
      </c>
      <c r="BM320">
        <v>1</v>
      </c>
      <c r="BN320">
        <v>0</v>
      </c>
      <c r="BO320">
        <v>0</v>
      </c>
      <c r="BP320">
        <v>0</v>
      </c>
      <c r="BT320">
        <v>0</v>
      </c>
      <c r="BU320">
        <v>0</v>
      </c>
      <c r="CE320" t="str">
        <f>"20:20:54.145"</f>
        <v>20:20:54.145</v>
      </c>
      <c r="CF320">
        <v>144868351</v>
      </c>
      <c r="CS320">
        <v>0</v>
      </c>
      <c r="CT320">
        <v>2</v>
      </c>
      <c r="CU320">
        <v>0</v>
      </c>
      <c r="CV320">
        <v>2</v>
      </c>
      <c r="CW320">
        <v>0</v>
      </c>
      <c r="CX320">
        <v>2</v>
      </c>
      <c r="CY320">
        <v>7</v>
      </c>
      <c r="CZ320" t="s">
        <v>131</v>
      </c>
      <c r="DA320">
        <v>116</v>
      </c>
      <c r="DB320">
        <v>3</v>
      </c>
      <c r="DC320" t="s">
        <v>132</v>
      </c>
      <c r="DD320" t="s">
        <v>133</v>
      </c>
      <c r="DG320">
        <v>8247391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1</v>
      </c>
      <c r="DQ320">
        <v>0</v>
      </c>
      <c r="DR320">
        <v>0</v>
      </c>
      <c r="DS320">
        <v>0</v>
      </c>
    </row>
    <row r="321" spans="1:123" x14ac:dyDescent="0.25">
      <c r="A321" t="str">
        <f>"11/29/2023 20:20:54.523"</f>
        <v>11/29/2023 20:20:54.523</v>
      </c>
      <c r="C321" t="str">
        <f t="shared" si="41"/>
        <v>FFDF53C0</v>
      </c>
      <c r="D321" t="s">
        <v>123</v>
      </c>
      <c r="E321">
        <v>1</v>
      </c>
      <c r="F321">
        <v>1001</v>
      </c>
      <c r="G321" t="s">
        <v>134</v>
      </c>
      <c r="J321" t="s">
        <v>125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"20:20:54.141"</f>
        <v>20:20:54.141</v>
      </c>
      <c r="T321" t="str">
        <f>"20:20:53.541"</f>
        <v>20:20:53.541</v>
      </c>
      <c r="U321" t="str">
        <f t="shared" si="37"/>
        <v>AA0632</v>
      </c>
      <c r="V321">
        <v>0</v>
      </c>
      <c r="W321">
        <v>0</v>
      </c>
      <c r="X321">
        <v>2</v>
      </c>
      <c r="Y321">
        <v>0</v>
      </c>
      <c r="AA321">
        <v>0</v>
      </c>
      <c r="AB321">
        <v>9</v>
      </c>
      <c r="AC321">
        <v>3</v>
      </c>
      <c r="AD321">
        <v>0</v>
      </c>
      <c r="AE321">
        <v>10</v>
      </c>
      <c r="AF321" t="s">
        <v>126</v>
      </c>
      <c r="AG321">
        <v>0</v>
      </c>
      <c r="AH321">
        <v>0</v>
      </c>
      <c r="AI321">
        <v>2</v>
      </c>
      <c r="AJ321">
        <v>0</v>
      </c>
      <c r="AK321" t="s">
        <v>292</v>
      </c>
      <c r="AL321">
        <v>31.959872000000001</v>
      </c>
      <c r="AM321" t="s">
        <v>190</v>
      </c>
      <c r="AN321">
        <v>-101.128078</v>
      </c>
      <c r="AQ321" t="s">
        <v>129</v>
      </c>
      <c r="AR321">
        <v>82</v>
      </c>
      <c r="AS321">
        <v>-30</v>
      </c>
      <c r="AT321">
        <v>-256</v>
      </c>
      <c r="BB321" t="str">
        <f t="shared" si="38"/>
        <v>1200</v>
      </c>
      <c r="BC321">
        <v>1</v>
      </c>
      <c r="BD321" t="str">
        <f t="shared" si="39"/>
        <v xml:space="preserve">N745MB  </v>
      </c>
      <c r="BE321">
        <v>1</v>
      </c>
      <c r="BG321">
        <v>0</v>
      </c>
      <c r="BH321">
        <v>0</v>
      </c>
      <c r="BI321">
        <v>0</v>
      </c>
      <c r="BL321" t="s">
        <v>130</v>
      </c>
      <c r="BM321">
        <v>1</v>
      </c>
      <c r="BN321">
        <v>0</v>
      </c>
      <c r="BO321">
        <v>0</v>
      </c>
      <c r="BP321">
        <v>0</v>
      </c>
      <c r="BT321">
        <v>0</v>
      </c>
      <c r="BU321">
        <v>0</v>
      </c>
      <c r="CE321" t="str">
        <f>"20:20:54.145"</f>
        <v>20:20:54.145</v>
      </c>
      <c r="CF321">
        <v>144868351</v>
      </c>
      <c r="CS321">
        <v>0</v>
      </c>
      <c r="CT321">
        <v>2</v>
      </c>
      <c r="CU321">
        <v>0</v>
      </c>
      <c r="CV321">
        <v>2</v>
      </c>
      <c r="CW321">
        <v>0</v>
      </c>
      <c r="CX321">
        <v>2</v>
      </c>
      <c r="CY321">
        <v>7</v>
      </c>
      <c r="CZ321" t="s">
        <v>131</v>
      </c>
      <c r="DA321">
        <v>116</v>
      </c>
      <c r="DB321">
        <v>3</v>
      </c>
      <c r="DC321" t="s">
        <v>132</v>
      </c>
      <c r="DD321" t="s">
        <v>133</v>
      </c>
      <c r="DG321">
        <v>8247391</v>
      </c>
      <c r="DI321">
        <v>0</v>
      </c>
      <c r="DJ321">
        <v>0</v>
      </c>
      <c r="DK321">
        <v>1</v>
      </c>
      <c r="DL321">
        <v>0</v>
      </c>
      <c r="DM321">
        <v>0</v>
      </c>
      <c r="DN321">
        <v>0</v>
      </c>
      <c r="DO321">
        <v>0</v>
      </c>
      <c r="DP321">
        <v>1</v>
      </c>
      <c r="DQ321">
        <v>0</v>
      </c>
      <c r="DR321">
        <v>0</v>
      </c>
      <c r="DS321">
        <v>0</v>
      </c>
    </row>
    <row r="322" spans="1:123" x14ac:dyDescent="0.25">
      <c r="A322" t="str">
        <f>"11/29/2023 20:20:54.555"</f>
        <v>11/29/2023 20:20:54.555</v>
      </c>
      <c r="C322" t="str">
        <f t="shared" si="41"/>
        <v>FFDF53C0</v>
      </c>
      <c r="D322" t="s">
        <v>135</v>
      </c>
      <c r="E322">
        <v>31</v>
      </c>
      <c r="H322">
        <v>285</v>
      </c>
      <c r="I322" t="s">
        <v>136</v>
      </c>
      <c r="J322" t="s">
        <v>137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"20:20:54.141"</f>
        <v>20:20:54.141</v>
      </c>
      <c r="T322" t="str">
        <f>"20:20:53.541"</f>
        <v>20:20:53.541</v>
      </c>
      <c r="U322" t="str">
        <f t="shared" ref="U322:U385" si="43">"AA0632"</f>
        <v>AA0632</v>
      </c>
      <c r="V322">
        <v>0</v>
      </c>
      <c r="W322">
        <v>0</v>
      </c>
      <c r="X322">
        <v>2</v>
      </c>
      <c r="Y322">
        <v>0</v>
      </c>
      <c r="AA322">
        <v>0</v>
      </c>
      <c r="AB322">
        <v>9</v>
      </c>
      <c r="AC322">
        <v>3</v>
      </c>
      <c r="AD322">
        <v>0</v>
      </c>
      <c r="AE322">
        <v>10</v>
      </c>
      <c r="AF322" t="s">
        <v>126</v>
      </c>
      <c r="AG322">
        <v>0</v>
      </c>
      <c r="AH322">
        <v>0</v>
      </c>
      <c r="AI322">
        <v>2</v>
      </c>
      <c r="AJ322">
        <v>0</v>
      </c>
      <c r="AK322" t="s">
        <v>292</v>
      </c>
      <c r="AL322">
        <v>31.959872000000001</v>
      </c>
      <c r="AM322" t="s">
        <v>190</v>
      </c>
      <c r="AN322">
        <v>-101.128078</v>
      </c>
      <c r="AQ322" t="s">
        <v>129</v>
      </c>
      <c r="AR322">
        <v>82</v>
      </c>
      <c r="AS322">
        <v>-30</v>
      </c>
      <c r="AT322">
        <v>-256</v>
      </c>
      <c r="BB322" t="str">
        <f t="shared" ref="BB322:BB385" si="44">"1200"</f>
        <v>1200</v>
      </c>
      <c r="BC322">
        <v>1</v>
      </c>
      <c r="BD322" t="str">
        <f t="shared" si="39"/>
        <v xml:space="preserve">N745MB  </v>
      </c>
      <c r="BE322">
        <v>1</v>
      </c>
      <c r="BG322">
        <v>0</v>
      </c>
      <c r="BH322">
        <v>0</v>
      </c>
      <c r="BI322">
        <v>0</v>
      </c>
      <c r="BL322" t="s">
        <v>130</v>
      </c>
      <c r="BM322">
        <v>1</v>
      </c>
      <c r="BN322">
        <v>0</v>
      </c>
      <c r="BO322">
        <v>0</v>
      </c>
      <c r="BP322">
        <v>0</v>
      </c>
      <c r="BT322">
        <v>0</v>
      </c>
      <c r="BU322">
        <v>0</v>
      </c>
      <c r="CE322" t="str">
        <f>"20:20:54.145"</f>
        <v>20:20:54.145</v>
      </c>
      <c r="CF322">
        <v>144868351</v>
      </c>
      <c r="CS322">
        <v>0</v>
      </c>
      <c r="CT322">
        <v>2</v>
      </c>
      <c r="CU322">
        <v>0</v>
      </c>
      <c r="CV322">
        <v>2</v>
      </c>
      <c r="CW322">
        <v>0</v>
      </c>
      <c r="CX322">
        <v>2</v>
      </c>
      <c r="CY322">
        <v>7</v>
      </c>
      <c r="CZ322" t="s">
        <v>131</v>
      </c>
      <c r="DA322">
        <v>116</v>
      </c>
      <c r="DB322">
        <v>3</v>
      </c>
      <c r="DC322" t="s">
        <v>132</v>
      </c>
      <c r="DD322" t="s">
        <v>133</v>
      </c>
      <c r="DG322">
        <v>8247391</v>
      </c>
      <c r="DI322">
        <v>0</v>
      </c>
      <c r="DJ322">
        <v>0</v>
      </c>
      <c r="DK322">
        <v>1</v>
      </c>
      <c r="DL322">
        <v>0</v>
      </c>
      <c r="DM322">
        <v>0</v>
      </c>
      <c r="DN322">
        <v>0</v>
      </c>
      <c r="DO322">
        <v>0</v>
      </c>
      <c r="DP322">
        <v>1</v>
      </c>
      <c r="DQ322">
        <v>0</v>
      </c>
      <c r="DR322">
        <v>0</v>
      </c>
      <c r="DS322">
        <v>0</v>
      </c>
    </row>
    <row r="323" spans="1:123" x14ac:dyDescent="0.25">
      <c r="A323" t="str">
        <f>"11/29/2023 20:20:54.555"</f>
        <v>11/29/2023 20:20:54.555</v>
      </c>
      <c r="C323" t="str">
        <f t="shared" si="41"/>
        <v>FFDF53C0</v>
      </c>
      <c r="D323" t="s">
        <v>123</v>
      </c>
      <c r="E323">
        <v>14</v>
      </c>
      <c r="F323">
        <v>1014</v>
      </c>
      <c r="G323" t="s">
        <v>124</v>
      </c>
      <c r="J323" t="s">
        <v>125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"20:20:54.141"</f>
        <v>20:20:54.141</v>
      </c>
      <c r="T323" t="str">
        <f>"20:20:53.541"</f>
        <v>20:20:53.541</v>
      </c>
      <c r="U323" t="str">
        <f t="shared" si="43"/>
        <v>AA0632</v>
      </c>
      <c r="V323">
        <v>0</v>
      </c>
      <c r="W323">
        <v>0</v>
      </c>
      <c r="X323">
        <v>2</v>
      </c>
      <c r="Y323">
        <v>0</v>
      </c>
      <c r="AA323">
        <v>0</v>
      </c>
      <c r="AB323">
        <v>9</v>
      </c>
      <c r="AC323">
        <v>3</v>
      </c>
      <c r="AD323">
        <v>0</v>
      </c>
      <c r="AE323">
        <v>10</v>
      </c>
      <c r="AF323" t="s">
        <v>126</v>
      </c>
      <c r="AG323">
        <v>0</v>
      </c>
      <c r="AH323">
        <v>0</v>
      </c>
      <c r="AI323">
        <v>2</v>
      </c>
      <c r="AJ323">
        <v>0</v>
      </c>
      <c r="AK323" t="s">
        <v>292</v>
      </c>
      <c r="AL323">
        <v>31.959872000000001</v>
      </c>
      <c r="AM323" t="s">
        <v>190</v>
      </c>
      <c r="AN323">
        <v>-101.128078</v>
      </c>
      <c r="AQ323" t="s">
        <v>129</v>
      </c>
      <c r="AR323">
        <v>82</v>
      </c>
      <c r="AS323">
        <v>-30</v>
      </c>
      <c r="AT323">
        <v>-256</v>
      </c>
      <c r="BB323" t="str">
        <f t="shared" si="44"/>
        <v>1200</v>
      </c>
      <c r="BC323">
        <v>1</v>
      </c>
      <c r="BD323" t="str">
        <f t="shared" si="39"/>
        <v xml:space="preserve">N745MB  </v>
      </c>
      <c r="BE323">
        <v>1</v>
      </c>
      <c r="BG323">
        <v>0</v>
      </c>
      <c r="BH323">
        <v>0</v>
      </c>
      <c r="BI323">
        <v>0</v>
      </c>
      <c r="BL323" t="s">
        <v>130</v>
      </c>
      <c r="BM323">
        <v>1</v>
      </c>
      <c r="BN323">
        <v>0</v>
      </c>
      <c r="BO323">
        <v>0</v>
      </c>
      <c r="BP323">
        <v>0</v>
      </c>
      <c r="BT323">
        <v>0</v>
      </c>
      <c r="BU323">
        <v>0</v>
      </c>
      <c r="CE323" t="str">
        <f>"20:20:54.145"</f>
        <v>20:20:54.145</v>
      </c>
      <c r="CF323">
        <v>144868351</v>
      </c>
      <c r="CS323">
        <v>0</v>
      </c>
      <c r="CT323">
        <v>2</v>
      </c>
      <c r="CU323">
        <v>0</v>
      </c>
      <c r="CV323">
        <v>2</v>
      </c>
      <c r="CW323">
        <v>0</v>
      </c>
      <c r="CX323">
        <v>2</v>
      </c>
      <c r="CY323">
        <v>7</v>
      </c>
      <c r="CZ323" t="s">
        <v>131</v>
      </c>
      <c r="DA323">
        <v>116</v>
      </c>
      <c r="DB323">
        <v>3</v>
      </c>
      <c r="DC323" t="s">
        <v>132</v>
      </c>
      <c r="DD323" t="s">
        <v>133</v>
      </c>
      <c r="DG323">
        <v>8247391</v>
      </c>
      <c r="DI323">
        <v>0</v>
      </c>
      <c r="DJ323">
        <v>0</v>
      </c>
      <c r="DK323">
        <v>1</v>
      </c>
      <c r="DL323">
        <v>0</v>
      </c>
      <c r="DM323">
        <v>0</v>
      </c>
      <c r="DN323">
        <v>0</v>
      </c>
      <c r="DO323">
        <v>0</v>
      </c>
      <c r="DP323">
        <v>1</v>
      </c>
      <c r="DQ323">
        <v>0</v>
      </c>
      <c r="DR323">
        <v>0</v>
      </c>
      <c r="DS323">
        <v>0</v>
      </c>
    </row>
    <row r="324" spans="1:123" x14ac:dyDescent="0.25">
      <c r="A324" t="str">
        <f>"11/29/2023 20:20:55.414"</f>
        <v>11/29/2023 20:20:55.414</v>
      </c>
      <c r="C324" t="str">
        <f t="shared" si="41"/>
        <v>FFDF53C0</v>
      </c>
      <c r="D324" t="s">
        <v>138</v>
      </c>
      <c r="E324">
        <v>3</v>
      </c>
      <c r="H324">
        <v>160</v>
      </c>
      <c r="I324" t="s">
        <v>124</v>
      </c>
      <c r="J324" t="s">
        <v>139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"20:20:55.094"</f>
        <v>20:20:55.094</v>
      </c>
      <c r="T324" t="str">
        <f>"20:20:54.894"</f>
        <v>20:20:54.894</v>
      </c>
      <c r="U324" t="str">
        <f t="shared" si="43"/>
        <v>AA0632</v>
      </c>
      <c r="V324">
        <v>0</v>
      </c>
      <c r="W324">
        <v>0</v>
      </c>
      <c r="X324">
        <v>2</v>
      </c>
      <c r="Y324">
        <v>0</v>
      </c>
      <c r="AA324">
        <v>0</v>
      </c>
      <c r="AB324">
        <v>9</v>
      </c>
      <c r="AC324">
        <v>3</v>
      </c>
      <c r="AD324">
        <v>0</v>
      </c>
      <c r="AE324">
        <v>10</v>
      </c>
      <c r="AF324" t="s">
        <v>126</v>
      </c>
      <c r="AG324">
        <v>0</v>
      </c>
      <c r="AH324">
        <v>0</v>
      </c>
      <c r="AI324">
        <v>2</v>
      </c>
      <c r="AJ324">
        <v>0</v>
      </c>
      <c r="AK324" t="s">
        <v>293</v>
      </c>
      <c r="AL324">
        <v>31.959721999999999</v>
      </c>
      <c r="AM324" t="s">
        <v>294</v>
      </c>
      <c r="AN324">
        <v>-101.127605</v>
      </c>
      <c r="AQ324" t="s">
        <v>129</v>
      </c>
      <c r="AR324">
        <v>80</v>
      </c>
      <c r="AS324">
        <v>-32</v>
      </c>
      <c r="AT324">
        <v>-128</v>
      </c>
      <c r="BB324" t="str">
        <f t="shared" si="44"/>
        <v>1200</v>
      </c>
      <c r="BC324">
        <v>1</v>
      </c>
      <c r="BD324" t="str">
        <f t="shared" si="39"/>
        <v xml:space="preserve">N745MB  </v>
      </c>
      <c r="BE324">
        <v>1</v>
      </c>
      <c r="BG324">
        <v>0</v>
      </c>
      <c r="BH324">
        <v>0</v>
      </c>
      <c r="BI324">
        <v>0</v>
      </c>
      <c r="BL324" t="s">
        <v>130</v>
      </c>
      <c r="BM324">
        <v>1</v>
      </c>
      <c r="BN324">
        <v>0</v>
      </c>
      <c r="BO324">
        <v>0</v>
      </c>
      <c r="BP324">
        <v>0</v>
      </c>
      <c r="BT324">
        <v>0</v>
      </c>
      <c r="BU324">
        <v>0</v>
      </c>
      <c r="CE324" t="str">
        <f>"20:20:55.097"</f>
        <v>20:20:55.097</v>
      </c>
      <c r="CF324">
        <v>96803279</v>
      </c>
      <c r="CS324">
        <v>0</v>
      </c>
      <c r="CT324">
        <v>2</v>
      </c>
      <c r="CU324">
        <v>0</v>
      </c>
      <c r="CV324">
        <v>2</v>
      </c>
      <c r="CW324">
        <v>0</v>
      </c>
      <c r="CX324">
        <v>2</v>
      </c>
      <c r="CY324">
        <v>7</v>
      </c>
      <c r="CZ324" t="s">
        <v>131</v>
      </c>
      <c r="DA324">
        <v>116</v>
      </c>
      <c r="DB324">
        <v>3</v>
      </c>
      <c r="DC324" t="s">
        <v>132</v>
      </c>
      <c r="DD324" t="s">
        <v>133</v>
      </c>
      <c r="DG324">
        <v>8247868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1</v>
      </c>
      <c r="DQ324">
        <v>0</v>
      </c>
      <c r="DR324">
        <v>0</v>
      </c>
      <c r="DS324">
        <v>0</v>
      </c>
    </row>
    <row r="325" spans="1:123" x14ac:dyDescent="0.25">
      <c r="A325" t="str">
        <f>"11/29/2023 20:20:55.414"</f>
        <v>11/29/2023 20:20:55.414</v>
      </c>
      <c r="C325" t="str">
        <f t="shared" si="41"/>
        <v>FFDF53C0</v>
      </c>
      <c r="D325" t="s">
        <v>123</v>
      </c>
      <c r="E325">
        <v>1</v>
      </c>
      <c r="F325">
        <v>1001</v>
      </c>
      <c r="G325" t="s">
        <v>134</v>
      </c>
      <c r="J325" t="s">
        <v>125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"20:20:55.094"</f>
        <v>20:20:55.094</v>
      </c>
      <c r="T325" t="str">
        <f>"20:20:54.894"</f>
        <v>20:20:54.894</v>
      </c>
      <c r="U325" t="str">
        <f t="shared" si="43"/>
        <v>AA0632</v>
      </c>
      <c r="V325">
        <v>0</v>
      </c>
      <c r="W325">
        <v>0</v>
      </c>
      <c r="X325">
        <v>2</v>
      </c>
      <c r="Y325">
        <v>0</v>
      </c>
      <c r="AA325">
        <v>0</v>
      </c>
      <c r="AB325">
        <v>9</v>
      </c>
      <c r="AC325">
        <v>3</v>
      </c>
      <c r="AD325">
        <v>0</v>
      </c>
      <c r="AE325">
        <v>10</v>
      </c>
      <c r="AF325" t="s">
        <v>126</v>
      </c>
      <c r="AG325">
        <v>0</v>
      </c>
      <c r="AH325">
        <v>0</v>
      </c>
      <c r="AI325">
        <v>2</v>
      </c>
      <c r="AJ325">
        <v>0</v>
      </c>
      <c r="AK325" t="s">
        <v>293</v>
      </c>
      <c r="AL325">
        <v>31.959721999999999</v>
      </c>
      <c r="AM325" t="s">
        <v>294</v>
      </c>
      <c r="AN325">
        <v>-101.127605</v>
      </c>
      <c r="AQ325" t="s">
        <v>129</v>
      </c>
      <c r="AR325">
        <v>80</v>
      </c>
      <c r="AS325">
        <v>-32</v>
      </c>
      <c r="AT325">
        <v>-128</v>
      </c>
      <c r="BB325" t="str">
        <f t="shared" si="44"/>
        <v>1200</v>
      </c>
      <c r="BC325">
        <v>1</v>
      </c>
      <c r="BD325" t="str">
        <f t="shared" si="39"/>
        <v xml:space="preserve">N745MB  </v>
      </c>
      <c r="BE325">
        <v>1</v>
      </c>
      <c r="BG325">
        <v>0</v>
      </c>
      <c r="BH325">
        <v>0</v>
      </c>
      <c r="BI325">
        <v>0</v>
      </c>
      <c r="BL325" t="s">
        <v>130</v>
      </c>
      <c r="BM325">
        <v>1</v>
      </c>
      <c r="BN325">
        <v>0</v>
      </c>
      <c r="BO325">
        <v>0</v>
      </c>
      <c r="BP325">
        <v>0</v>
      </c>
      <c r="BT325">
        <v>0</v>
      </c>
      <c r="BU325">
        <v>0</v>
      </c>
      <c r="CE325" t="str">
        <f>"20:20:55.097"</f>
        <v>20:20:55.097</v>
      </c>
      <c r="CF325">
        <v>96803279</v>
      </c>
      <c r="CS325">
        <v>0</v>
      </c>
      <c r="CT325">
        <v>2</v>
      </c>
      <c r="CU325">
        <v>0</v>
      </c>
      <c r="CV325">
        <v>2</v>
      </c>
      <c r="CW325">
        <v>0</v>
      </c>
      <c r="CX325">
        <v>2</v>
      </c>
      <c r="CY325">
        <v>7</v>
      </c>
      <c r="CZ325" t="s">
        <v>131</v>
      </c>
      <c r="DA325">
        <v>116</v>
      </c>
      <c r="DB325">
        <v>3</v>
      </c>
      <c r="DC325" t="s">
        <v>132</v>
      </c>
      <c r="DD325" t="s">
        <v>133</v>
      </c>
      <c r="DG325">
        <v>8247868</v>
      </c>
      <c r="DI325">
        <v>0</v>
      </c>
      <c r="DJ325">
        <v>0</v>
      </c>
      <c r="DK325">
        <v>1</v>
      </c>
      <c r="DL325">
        <v>0</v>
      </c>
      <c r="DM325">
        <v>0</v>
      </c>
      <c r="DN325">
        <v>0</v>
      </c>
      <c r="DO325">
        <v>0</v>
      </c>
      <c r="DP325">
        <v>1</v>
      </c>
      <c r="DQ325">
        <v>0</v>
      </c>
      <c r="DR325">
        <v>0</v>
      </c>
      <c r="DS325">
        <v>0</v>
      </c>
    </row>
    <row r="326" spans="1:123" x14ac:dyDescent="0.25">
      <c r="A326" t="str">
        <f>"11/29/2023 20:20:55.414"</f>
        <v>11/29/2023 20:20:55.414</v>
      </c>
      <c r="C326" t="str">
        <f t="shared" si="41"/>
        <v>FFDF53C0</v>
      </c>
      <c r="D326" t="s">
        <v>123</v>
      </c>
      <c r="E326">
        <v>14</v>
      </c>
      <c r="F326">
        <v>1014</v>
      </c>
      <c r="G326" t="s">
        <v>124</v>
      </c>
      <c r="J326" t="s">
        <v>125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"20:20:55.094"</f>
        <v>20:20:55.094</v>
      </c>
      <c r="T326" t="str">
        <f>"20:20:54.894"</f>
        <v>20:20:54.894</v>
      </c>
      <c r="U326" t="str">
        <f t="shared" si="43"/>
        <v>AA0632</v>
      </c>
      <c r="V326">
        <v>0</v>
      </c>
      <c r="W326">
        <v>0</v>
      </c>
      <c r="X326">
        <v>2</v>
      </c>
      <c r="Y326">
        <v>0</v>
      </c>
      <c r="AA326">
        <v>0</v>
      </c>
      <c r="AB326">
        <v>9</v>
      </c>
      <c r="AC326">
        <v>3</v>
      </c>
      <c r="AD326">
        <v>0</v>
      </c>
      <c r="AE326">
        <v>10</v>
      </c>
      <c r="AF326" t="s">
        <v>126</v>
      </c>
      <c r="AG326">
        <v>0</v>
      </c>
      <c r="AH326">
        <v>0</v>
      </c>
      <c r="AI326">
        <v>2</v>
      </c>
      <c r="AJ326">
        <v>0</v>
      </c>
      <c r="AK326" t="s">
        <v>293</v>
      </c>
      <c r="AL326">
        <v>31.959721999999999</v>
      </c>
      <c r="AM326" t="s">
        <v>294</v>
      </c>
      <c r="AN326">
        <v>-101.127605</v>
      </c>
      <c r="AQ326" t="s">
        <v>129</v>
      </c>
      <c r="AR326">
        <v>80</v>
      </c>
      <c r="AS326">
        <v>-32</v>
      </c>
      <c r="AT326">
        <v>-128</v>
      </c>
      <c r="BB326" t="str">
        <f t="shared" si="44"/>
        <v>1200</v>
      </c>
      <c r="BC326">
        <v>1</v>
      </c>
      <c r="BD326" t="str">
        <f t="shared" si="39"/>
        <v xml:space="preserve">N745MB  </v>
      </c>
      <c r="BE326">
        <v>1</v>
      </c>
      <c r="BG326">
        <v>0</v>
      </c>
      <c r="BH326">
        <v>0</v>
      </c>
      <c r="BI326">
        <v>0</v>
      </c>
      <c r="BL326" t="s">
        <v>130</v>
      </c>
      <c r="BM326">
        <v>1</v>
      </c>
      <c r="BN326">
        <v>0</v>
      </c>
      <c r="BO326">
        <v>0</v>
      </c>
      <c r="BP326">
        <v>0</v>
      </c>
      <c r="BT326">
        <v>0</v>
      </c>
      <c r="BU326">
        <v>0</v>
      </c>
      <c r="CE326" t="str">
        <f>"20:20:55.097"</f>
        <v>20:20:55.097</v>
      </c>
      <c r="CF326">
        <v>96803279</v>
      </c>
      <c r="CS326">
        <v>0</v>
      </c>
      <c r="CT326">
        <v>2</v>
      </c>
      <c r="CU326">
        <v>0</v>
      </c>
      <c r="CV326">
        <v>2</v>
      </c>
      <c r="CW326">
        <v>0</v>
      </c>
      <c r="CX326">
        <v>2</v>
      </c>
      <c r="CY326">
        <v>7</v>
      </c>
      <c r="CZ326" t="s">
        <v>131</v>
      </c>
      <c r="DA326">
        <v>116</v>
      </c>
      <c r="DB326">
        <v>3</v>
      </c>
      <c r="DC326" t="s">
        <v>132</v>
      </c>
      <c r="DD326" t="s">
        <v>133</v>
      </c>
      <c r="DG326">
        <v>8247868</v>
      </c>
      <c r="DI326">
        <v>0</v>
      </c>
      <c r="DJ326">
        <v>0</v>
      </c>
      <c r="DK326">
        <v>1</v>
      </c>
      <c r="DL326">
        <v>0</v>
      </c>
      <c r="DM326">
        <v>0</v>
      </c>
      <c r="DN326">
        <v>0</v>
      </c>
      <c r="DO326">
        <v>0</v>
      </c>
      <c r="DP326">
        <v>1</v>
      </c>
      <c r="DQ326">
        <v>0</v>
      </c>
      <c r="DR326">
        <v>0</v>
      </c>
      <c r="DS326">
        <v>0</v>
      </c>
    </row>
    <row r="327" spans="1:123" x14ac:dyDescent="0.25">
      <c r="A327" t="str">
        <f>"11/29/2023 20:20:55.414"</f>
        <v>11/29/2023 20:20:55.414</v>
      </c>
      <c r="C327" t="str">
        <f t="shared" si="41"/>
        <v>FFDF53C0</v>
      </c>
      <c r="D327" t="s">
        <v>135</v>
      </c>
      <c r="E327">
        <v>31</v>
      </c>
      <c r="H327">
        <v>285</v>
      </c>
      <c r="I327" t="s">
        <v>136</v>
      </c>
      <c r="J327" t="s">
        <v>137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"20:20:55.094"</f>
        <v>20:20:55.094</v>
      </c>
      <c r="T327" t="str">
        <f>"20:20:54.894"</f>
        <v>20:20:54.894</v>
      </c>
      <c r="U327" t="str">
        <f t="shared" si="43"/>
        <v>AA0632</v>
      </c>
      <c r="V327">
        <v>0</v>
      </c>
      <c r="W327">
        <v>0</v>
      </c>
      <c r="X327">
        <v>2</v>
      </c>
      <c r="Y327">
        <v>0</v>
      </c>
      <c r="AA327">
        <v>0</v>
      </c>
      <c r="AB327">
        <v>9</v>
      </c>
      <c r="AC327">
        <v>3</v>
      </c>
      <c r="AD327">
        <v>0</v>
      </c>
      <c r="AE327">
        <v>10</v>
      </c>
      <c r="AF327" t="s">
        <v>126</v>
      </c>
      <c r="AG327">
        <v>0</v>
      </c>
      <c r="AH327">
        <v>0</v>
      </c>
      <c r="AI327">
        <v>2</v>
      </c>
      <c r="AJ327">
        <v>0</v>
      </c>
      <c r="AK327" t="s">
        <v>293</v>
      </c>
      <c r="AL327">
        <v>31.959721999999999</v>
      </c>
      <c r="AM327" t="s">
        <v>294</v>
      </c>
      <c r="AN327">
        <v>-101.127605</v>
      </c>
      <c r="AQ327" t="s">
        <v>129</v>
      </c>
      <c r="AR327">
        <v>80</v>
      </c>
      <c r="AS327">
        <v>-32</v>
      </c>
      <c r="AT327">
        <v>-128</v>
      </c>
      <c r="BB327" t="str">
        <f t="shared" si="44"/>
        <v>1200</v>
      </c>
      <c r="BC327">
        <v>1</v>
      </c>
      <c r="BD327" t="str">
        <f t="shared" si="39"/>
        <v xml:space="preserve">N745MB  </v>
      </c>
      <c r="BE327">
        <v>1</v>
      </c>
      <c r="BG327">
        <v>0</v>
      </c>
      <c r="BH327">
        <v>0</v>
      </c>
      <c r="BI327">
        <v>0</v>
      </c>
      <c r="BL327" t="s">
        <v>130</v>
      </c>
      <c r="BM327">
        <v>1</v>
      </c>
      <c r="BN327">
        <v>0</v>
      </c>
      <c r="BO327">
        <v>0</v>
      </c>
      <c r="BP327">
        <v>0</v>
      </c>
      <c r="BT327">
        <v>0</v>
      </c>
      <c r="BU327">
        <v>0</v>
      </c>
      <c r="CE327" t="str">
        <f>"20:20:55.097"</f>
        <v>20:20:55.097</v>
      </c>
      <c r="CF327">
        <v>96803279</v>
      </c>
      <c r="CS327">
        <v>0</v>
      </c>
      <c r="CT327">
        <v>2</v>
      </c>
      <c r="CU327">
        <v>0</v>
      </c>
      <c r="CV327">
        <v>2</v>
      </c>
      <c r="CW327">
        <v>0</v>
      </c>
      <c r="CX327">
        <v>2</v>
      </c>
      <c r="CY327">
        <v>7</v>
      </c>
      <c r="CZ327" t="s">
        <v>131</v>
      </c>
      <c r="DA327">
        <v>116</v>
      </c>
      <c r="DB327">
        <v>3</v>
      </c>
      <c r="DC327" t="s">
        <v>132</v>
      </c>
      <c r="DD327" t="s">
        <v>133</v>
      </c>
      <c r="DG327">
        <v>8247868</v>
      </c>
      <c r="DI327">
        <v>0</v>
      </c>
      <c r="DJ327">
        <v>0</v>
      </c>
      <c r="DK327">
        <v>1</v>
      </c>
      <c r="DL327">
        <v>0</v>
      </c>
      <c r="DM327">
        <v>0</v>
      </c>
      <c r="DN327">
        <v>0</v>
      </c>
      <c r="DO327">
        <v>0</v>
      </c>
      <c r="DP327">
        <v>1</v>
      </c>
      <c r="DQ327">
        <v>0</v>
      </c>
      <c r="DR327">
        <v>0</v>
      </c>
      <c r="DS327">
        <v>0</v>
      </c>
    </row>
    <row r="328" spans="1:123" x14ac:dyDescent="0.25">
      <c r="A328" t="str">
        <f>"11/29/2023 20:20:56.523"</f>
        <v>11/29/2023 20:20:56.523</v>
      </c>
      <c r="C328" t="str">
        <f t="shared" si="41"/>
        <v>FFDF53C0</v>
      </c>
      <c r="D328" t="s">
        <v>123</v>
      </c>
      <c r="E328">
        <v>1</v>
      </c>
      <c r="F328">
        <v>1001</v>
      </c>
      <c r="G328" t="s">
        <v>134</v>
      </c>
      <c r="J328" t="s">
        <v>125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"20:20:56.063"</f>
        <v>20:20:56.063</v>
      </c>
      <c r="T328" t="str">
        <f>"20:20:55.962"</f>
        <v>20:20:55.962</v>
      </c>
      <c r="U328" t="str">
        <f t="shared" si="43"/>
        <v>AA0632</v>
      </c>
      <c r="V328">
        <v>0</v>
      </c>
      <c r="W328">
        <v>0</v>
      </c>
      <c r="X328">
        <v>2</v>
      </c>
      <c r="Y328">
        <v>0</v>
      </c>
      <c r="AA328">
        <v>0</v>
      </c>
      <c r="AB328">
        <v>9</v>
      </c>
      <c r="AC328">
        <v>3</v>
      </c>
      <c r="AD328">
        <v>0</v>
      </c>
      <c r="AE328">
        <v>10</v>
      </c>
      <c r="AF328" t="s">
        <v>126</v>
      </c>
      <c r="AG328">
        <v>0</v>
      </c>
      <c r="AH328">
        <v>0</v>
      </c>
      <c r="AI328">
        <v>2</v>
      </c>
      <c r="AJ328">
        <v>0</v>
      </c>
      <c r="AK328" t="s">
        <v>295</v>
      </c>
      <c r="AL328">
        <v>31.959593000000002</v>
      </c>
      <c r="AM328" t="s">
        <v>296</v>
      </c>
      <c r="AN328">
        <v>-101.127219</v>
      </c>
      <c r="AQ328" t="s">
        <v>129</v>
      </c>
      <c r="AR328">
        <v>80</v>
      </c>
      <c r="AS328">
        <v>-34</v>
      </c>
      <c r="AT328">
        <v>-128</v>
      </c>
      <c r="BB328" t="str">
        <f t="shared" si="44"/>
        <v>1200</v>
      </c>
      <c r="BC328">
        <v>1</v>
      </c>
      <c r="BD328" t="str">
        <f t="shared" si="39"/>
        <v xml:space="preserve">N745MB  </v>
      </c>
      <c r="BE328">
        <v>1</v>
      </c>
      <c r="BG328">
        <v>0</v>
      </c>
      <c r="BH328">
        <v>0</v>
      </c>
      <c r="BI328">
        <v>0</v>
      </c>
      <c r="BL328" t="s">
        <v>130</v>
      </c>
      <c r="BM328">
        <v>1</v>
      </c>
      <c r="BN328">
        <v>0</v>
      </c>
      <c r="BO328">
        <v>0</v>
      </c>
      <c r="BP328">
        <v>0</v>
      </c>
      <c r="BT328">
        <v>0</v>
      </c>
      <c r="BU328">
        <v>0</v>
      </c>
      <c r="CE328" t="str">
        <f>"20:20:56.065"</f>
        <v>20:20:56.065</v>
      </c>
      <c r="CF328">
        <v>64737232</v>
      </c>
      <c r="CS328">
        <v>0</v>
      </c>
      <c r="CT328">
        <v>2</v>
      </c>
      <c r="CU328">
        <v>0</v>
      </c>
      <c r="CV328">
        <v>2</v>
      </c>
      <c r="CW328">
        <v>0</v>
      </c>
      <c r="CX328">
        <v>2</v>
      </c>
      <c r="CY328">
        <v>7</v>
      </c>
      <c r="CZ328" t="s">
        <v>131</v>
      </c>
      <c r="DA328">
        <v>116</v>
      </c>
      <c r="DB328">
        <v>0</v>
      </c>
      <c r="DC328" t="s">
        <v>132</v>
      </c>
      <c r="DD328" t="s">
        <v>133</v>
      </c>
      <c r="DG328">
        <v>14413358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1</v>
      </c>
      <c r="DQ328">
        <v>0</v>
      </c>
      <c r="DR328">
        <v>0</v>
      </c>
      <c r="DS328">
        <v>0</v>
      </c>
    </row>
    <row r="329" spans="1:123" x14ac:dyDescent="0.25">
      <c r="A329" t="str">
        <f>"11/29/2023 20:20:56.570"</f>
        <v>11/29/2023 20:20:56.570</v>
      </c>
      <c r="C329" t="str">
        <f t="shared" si="41"/>
        <v>FFDF53C0</v>
      </c>
      <c r="D329" t="s">
        <v>123</v>
      </c>
      <c r="E329">
        <v>14</v>
      </c>
      <c r="F329">
        <v>1014</v>
      </c>
      <c r="G329" t="s">
        <v>124</v>
      </c>
      <c r="J329" t="s">
        <v>125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"20:20:56.063"</f>
        <v>20:20:56.063</v>
      </c>
      <c r="T329" t="str">
        <f>"20:20:55.962"</f>
        <v>20:20:55.962</v>
      </c>
      <c r="U329" t="str">
        <f t="shared" si="43"/>
        <v>AA0632</v>
      </c>
      <c r="V329">
        <v>0</v>
      </c>
      <c r="W329">
        <v>0</v>
      </c>
      <c r="X329">
        <v>2</v>
      </c>
      <c r="Y329">
        <v>0</v>
      </c>
      <c r="AA329">
        <v>0</v>
      </c>
      <c r="AB329">
        <v>9</v>
      </c>
      <c r="AC329">
        <v>3</v>
      </c>
      <c r="AD329">
        <v>0</v>
      </c>
      <c r="AE329">
        <v>10</v>
      </c>
      <c r="AF329" t="s">
        <v>126</v>
      </c>
      <c r="AG329">
        <v>0</v>
      </c>
      <c r="AH329">
        <v>0</v>
      </c>
      <c r="AI329">
        <v>2</v>
      </c>
      <c r="AJ329">
        <v>0</v>
      </c>
      <c r="AK329" t="s">
        <v>295</v>
      </c>
      <c r="AL329">
        <v>31.959593000000002</v>
      </c>
      <c r="AM329" t="s">
        <v>296</v>
      </c>
      <c r="AN329">
        <v>-101.127219</v>
      </c>
      <c r="AQ329" t="s">
        <v>129</v>
      </c>
      <c r="AR329">
        <v>80</v>
      </c>
      <c r="AS329">
        <v>-34</v>
      </c>
      <c r="AT329">
        <v>-128</v>
      </c>
      <c r="BB329" t="str">
        <f t="shared" si="44"/>
        <v>1200</v>
      </c>
      <c r="BC329">
        <v>1</v>
      </c>
      <c r="BD329" t="str">
        <f t="shared" si="39"/>
        <v xml:space="preserve">N745MB  </v>
      </c>
      <c r="BE329">
        <v>1</v>
      </c>
      <c r="BG329">
        <v>0</v>
      </c>
      <c r="BH329">
        <v>0</v>
      </c>
      <c r="BI329">
        <v>0</v>
      </c>
      <c r="BL329" t="s">
        <v>130</v>
      </c>
      <c r="BM329">
        <v>1</v>
      </c>
      <c r="BN329">
        <v>0</v>
      </c>
      <c r="BO329">
        <v>0</v>
      </c>
      <c r="BP329">
        <v>0</v>
      </c>
      <c r="BT329">
        <v>0</v>
      </c>
      <c r="BU329">
        <v>0</v>
      </c>
      <c r="CE329" t="str">
        <f>"20:20:56.065"</f>
        <v>20:20:56.065</v>
      </c>
      <c r="CF329">
        <v>64737232</v>
      </c>
      <c r="CS329">
        <v>0</v>
      </c>
      <c r="CT329">
        <v>2</v>
      </c>
      <c r="CU329">
        <v>0</v>
      </c>
      <c r="CV329">
        <v>2</v>
      </c>
      <c r="CW329">
        <v>0</v>
      </c>
      <c r="CX329">
        <v>2</v>
      </c>
      <c r="CY329">
        <v>7</v>
      </c>
      <c r="CZ329" t="s">
        <v>131</v>
      </c>
      <c r="DA329">
        <v>116</v>
      </c>
      <c r="DB329">
        <v>0</v>
      </c>
      <c r="DC329" t="s">
        <v>132</v>
      </c>
      <c r="DD329" t="s">
        <v>133</v>
      </c>
      <c r="DG329">
        <v>14413358</v>
      </c>
      <c r="DI329">
        <v>0</v>
      </c>
      <c r="DJ329">
        <v>0</v>
      </c>
      <c r="DK329">
        <v>1</v>
      </c>
      <c r="DL329">
        <v>0</v>
      </c>
      <c r="DM329">
        <v>0</v>
      </c>
      <c r="DN329">
        <v>0</v>
      </c>
      <c r="DO329">
        <v>0</v>
      </c>
      <c r="DP329">
        <v>1</v>
      </c>
      <c r="DQ329">
        <v>0</v>
      </c>
      <c r="DR329">
        <v>0</v>
      </c>
      <c r="DS329">
        <v>0</v>
      </c>
    </row>
    <row r="330" spans="1:123" x14ac:dyDescent="0.25">
      <c r="A330" t="str">
        <f>"11/29/2023 20:20:56.570"</f>
        <v>11/29/2023 20:20:56.570</v>
      </c>
      <c r="C330" t="str">
        <f t="shared" si="41"/>
        <v>FFDF53C0</v>
      </c>
      <c r="D330" t="s">
        <v>135</v>
      </c>
      <c r="E330">
        <v>31</v>
      </c>
      <c r="H330">
        <v>285</v>
      </c>
      <c r="I330" t="s">
        <v>136</v>
      </c>
      <c r="J330" t="s">
        <v>137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"20:20:56.063"</f>
        <v>20:20:56.063</v>
      </c>
      <c r="T330" t="str">
        <f>"20:20:55.962"</f>
        <v>20:20:55.962</v>
      </c>
      <c r="U330" t="str">
        <f t="shared" si="43"/>
        <v>AA0632</v>
      </c>
      <c r="V330">
        <v>0</v>
      </c>
      <c r="W330">
        <v>0</v>
      </c>
      <c r="X330">
        <v>2</v>
      </c>
      <c r="Y330">
        <v>0</v>
      </c>
      <c r="AA330">
        <v>0</v>
      </c>
      <c r="AB330">
        <v>9</v>
      </c>
      <c r="AC330">
        <v>3</v>
      </c>
      <c r="AD330">
        <v>0</v>
      </c>
      <c r="AE330">
        <v>10</v>
      </c>
      <c r="AF330" t="s">
        <v>126</v>
      </c>
      <c r="AG330">
        <v>0</v>
      </c>
      <c r="AH330">
        <v>0</v>
      </c>
      <c r="AI330">
        <v>2</v>
      </c>
      <c r="AJ330">
        <v>0</v>
      </c>
      <c r="AK330" t="s">
        <v>295</v>
      </c>
      <c r="AL330">
        <v>31.959593000000002</v>
      </c>
      <c r="AM330" t="s">
        <v>296</v>
      </c>
      <c r="AN330">
        <v>-101.127219</v>
      </c>
      <c r="AQ330" t="s">
        <v>129</v>
      </c>
      <c r="AR330">
        <v>80</v>
      </c>
      <c r="AS330">
        <v>-34</v>
      </c>
      <c r="AT330">
        <v>-128</v>
      </c>
      <c r="BB330" t="str">
        <f t="shared" si="44"/>
        <v>1200</v>
      </c>
      <c r="BC330">
        <v>1</v>
      </c>
      <c r="BD330" t="str">
        <f t="shared" si="39"/>
        <v xml:space="preserve">N745MB  </v>
      </c>
      <c r="BE330">
        <v>1</v>
      </c>
      <c r="BG330">
        <v>0</v>
      </c>
      <c r="BH330">
        <v>0</v>
      </c>
      <c r="BI330">
        <v>0</v>
      </c>
      <c r="BL330" t="s">
        <v>130</v>
      </c>
      <c r="BM330">
        <v>1</v>
      </c>
      <c r="BN330">
        <v>0</v>
      </c>
      <c r="BO330">
        <v>0</v>
      </c>
      <c r="BP330">
        <v>0</v>
      </c>
      <c r="BT330">
        <v>0</v>
      </c>
      <c r="BU330">
        <v>0</v>
      </c>
      <c r="CE330" t="str">
        <f>"20:20:56.065"</f>
        <v>20:20:56.065</v>
      </c>
      <c r="CF330">
        <v>64737232</v>
      </c>
      <c r="CS330">
        <v>0</v>
      </c>
      <c r="CT330">
        <v>2</v>
      </c>
      <c r="CU330">
        <v>0</v>
      </c>
      <c r="CV330">
        <v>2</v>
      </c>
      <c r="CW330">
        <v>0</v>
      </c>
      <c r="CX330">
        <v>2</v>
      </c>
      <c r="CY330">
        <v>7</v>
      </c>
      <c r="CZ330" t="s">
        <v>131</v>
      </c>
      <c r="DA330">
        <v>116</v>
      </c>
      <c r="DB330">
        <v>0</v>
      </c>
      <c r="DC330" t="s">
        <v>132</v>
      </c>
      <c r="DD330" t="s">
        <v>133</v>
      </c>
      <c r="DG330">
        <v>14413358</v>
      </c>
      <c r="DI330">
        <v>0</v>
      </c>
      <c r="DJ330">
        <v>0</v>
      </c>
      <c r="DK330">
        <v>1</v>
      </c>
      <c r="DL330">
        <v>0</v>
      </c>
      <c r="DM330">
        <v>0</v>
      </c>
      <c r="DN330">
        <v>0</v>
      </c>
      <c r="DO330">
        <v>0</v>
      </c>
      <c r="DP330">
        <v>1</v>
      </c>
      <c r="DQ330">
        <v>0</v>
      </c>
      <c r="DR330">
        <v>0</v>
      </c>
      <c r="DS330">
        <v>0</v>
      </c>
    </row>
    <row r="331" spans="1:123" x14ac:dyDescent="0.25">
      <c r="A331" t="str">
        <f>"11/29/2023 20:20:56.570"</f>
        <v>11/29/2023 20:20:56.570</v>
      </c>
      <c r="C331" t="str">
        <f t="shared" si="41"/>
        <v>FFDF53C0</v>
      </c>
      <c r="D331" t="s">
        <v>138</v>
      </c>
      <c r="E331">
        <v>3</v>
      </c>
      <c r="H331">
        <v>160</v>
      </c>
      <c r="I331" t="s">
        <v>124</v>
      </c>
      <c r="J331" t="s">
        <v>139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"20:20:56.063"</f>
        <v>20:20:56.063</v>
      </c>
      <c r="T331" t="str">
        <f>"20:20:55.962"</f>
        <v>20:20:55.962</v>
      </c>
      <c r="U331" t="str">
        <f t="shared" si="43"/>
        <v>AA0632</v>
      </c>
      <c r="V331">
        <v>0</v>
      </c>
      <c r="W331">
        <v>0</v>
      </c>
      <c r="X331">
        <v>2</v>
      </c>
      <c r="Y331">
        <v>0</v>
      </c>
      <c r="AA331">
        <v>0</v>
      </c>
      <c r="AB331">
        <v>9</v>
      </c>
      <c r="AC331">
        <v>3</v>
      </c>
      <c r="AD331">
        <v>0</v>
      </c>
      <c r="AE331">
        <v>10</v>
      </c>
      <c r="AF331" t="s">
        <v>126</v>
      </c>
      <c r="AG331">
        <v>0</v>
      </c>
      <c r="AH331">
        <v>0</v>
      </c>
      <c r="AI331">
        <v>2</v>
      </c>
      <c r="AJ331">
        <v>0</v>
      </c>
      <c r="AK331" t="s">
        <v>295</v>
      </c>
      <c r="AL331">
        <v>31.959593000000002</v>
      </c>
      <c r="AM331" t="s">
        <v>296</v>
      </c>
      <c r="AN331">
        <v>-101.127219</v>
      </c>
      <c r="AQ331" t="s">
        <v>129</v>
      </c>
      <c r="AR331">
        <v>80</v>
      </c>
      <c r="AS331">
        <v>-34</v>
      </c>
      <c r="AT331">
        <v>-128</v>
      </c>
      <c r="BB331" t="str">
        <f t="shared" si="44"/>
        <v>1200</v>
      </c>
      <c r="BC331">
        <v>1</v>
      </c>
      <c r="BD331" t="str">
        <f t="shared" si="39"/>
        <v xml:space="preserve">N745MB  </v>
      </c>
      <c r="BE331">
        <v>1</v>
      </c>
      <c r="BG331">
        <v>0</v>
      </c>
      <c r="BH331">
        <v>0</v>
      </c>
      <c r="BI331">
        <v>0</v>
      </c>
      <c r="BL331" t="s">
        <v>130</v>
      </c>
      <c r="BM331">
        <v>1</v>
      </c>
      <c r="BN331">
        <v>0</v>
      </c>
      <c r="BO331">
        <v>0</v>
      </c>
      <c r="BP331">
        <v>0</v>
      </c>
      <c r="BT331">
        <v>0</v>
      </c>
      <c r="BU331">
        <v>0</v>
      </c>
      <c r="CE331" t="str">
        <f>"20:20:56.065"</f>
        <v>20:20:56.065</v>
      </c>
      <c r="CF331">
        <v>64737232</v>
      </c>
      <c r="CS331">
        <v>0</v>
      </c>
      <c r="CT331">
        <v>2</v>
      </c>
      <c r="CU331">
        <v>0</v>
      </c>
      <c r="CV331">
        <v>2</v>
      </c>
      <c r="CW331">
        <v>0</v>
      </c>
      <c r="CX331">
        <v>2</v>
      </c>
      <c r="CY331">
        <v>7</v>
      </c>
      <c r="CZ331" t="s">
        <v>131</v>
      </c>
      <c r="DA331">
        <v>116</v>
      </c>
      <c r="DB331">
        <v>0</v>
      </c>
      <c r="DC331" t="s">
        <v>132</v>
      </c>
      <c r="DD331" t="s">
        <v>133</v>
      </c>
      <c r="DG331">
        <v>14413358</v>
      </c>
      <c r="DI331">
        <v>0</v>
      </c>
      <c r="DJ331">
        <v>0</v>
      </c>
      <c r="DK331">
        <v>1</v>
      </c>
      <c r="DL331">
        <v>0</v>
      </c>
      <c r="DM331">
        <v>0</v>
      </c>
      <c r="DN331">
        <v>0</v>
      </c>
      <c r="DO331">
        <v>0</v>
      </c>
      <c r="DP331">
        <v>1</v>
      </c>
      <c r="DQ331">
        <v>0</v>
      </c>
      <c r="DR331">
        <v>0</v>
      </c>
      <c r="DS331">
        <v>0</v>
      </c>
    </row>
    <row r="332" spans="1:123" x14ac:dyDescent="0.25">
      <c r="A332" t="str">
        <f>"11/29/2023 20:20:57.539"</f>
        <v>11/29/2023 20:20:57.539</v>
      </c>
      <c r="C332" t="str">
        <f t="shared" si="41"/>
        <v>FFDF53C0</v>
      </c>
      <c r="D332" t="s">
        <v>123</v>
      </c>
      <c r="E332">
        <v>1</v>
      </c>
      <c r="F332">
        <v>1001</v>
      </c>
      <c r="G332" t="s">
        <v>134</v>
      </c>
      <c r="J332" t="s">
        <v>125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 t="shared" ref="S332:T334" si="45">"20:20:57.047"</f>
        <v>20:20:57.047</v>
      </c>
      <c r="T332" t="str">
        <f t="shared" si="45"/>
        <v>20:20:57.047</v>
      </c>
      <c r="U332" t="str">
        <f t="shared" si="43"/>
        <v>AA0632</v>
      </c>
      <c r="V332">
        <v>0</v>
      </c>
      <c r="W332">
        <v>0</v>
      </c>
      <c r="X332">
        <v>2</v>
      </c>
      <c r="Y332">
        <v>0</v>
      </c>
      <c r="AA332">
        <v>0</v>
      </c>
      <c r="AB332">
        <v>9</v>
      </c>
      <c r="AC332">
        <v>3</v>
      </c>
      <c r="AD332">
        <v>0</v>
      </c>
      <c r="AE332">
        <v>10</v>
      </c>
      <c r="AF332" t="s">
        <v>126</v>
      </c>
      <c r="AG332">
        <v>0</v>
      </c>
      <c r="AH332">
        <v>0</v>
      </c>
      <c r="AI332">
        <v>2</v>
      </c>
      <c r="AJ332">
        <v>0</v>
      </c>
      <c r="AK332" t="s">
        <v>297</v>
      </c>
      <c r="AL332">
        <v>31.959422</v>
      </c>
      <c r="AM332" t="s">
        <v>298</v>
      </c>
      <c r="AN332">
        <v>-101.12679</v>
      </c>
      <c r="AQ332" t="s">
        <v>129</v>
      </c>
      <c r="AR332">
        <v>79</v>
      </c>
      <c r="AS332">
        <v>-35</v>
      </c>
      <c r="AT332">
        <v>-128</v>
      </c>
      <c r="BB332" t="str">
        <f t="shared" si="44"/>
        <v>1200</v>
      </c>
      <c r="BC332">
        <v>1</v>
      </c>
      <c r="BD332" t="str">
        <f t="shared" si="39"/>
        <v xml:space="preserve">N745MB  </v>
      </c>
      <c r="BE332">
        <v>1</v>
      </c>
      <c r="BG332">
        <v>0</v>
      </c>
      <c r="BH332">
        <v>0</v>
      </c>
      <c r="BI332">
        <v>0</v>
      </c>
      <c r="BL332" t="s">
        <v>130</v>
      </c>
      <c r="BM332">
        <v>1</v>
      </c>
      <c r="BN332">
        <v>0</v>
      </c>
      <c r="BO332">
        <v>0</v>
      </c>
      <c r="BP332">
        <v>0</v>
      </c>
      <c r="BT332">
        <v>0</v>
      </c>
      <c r="BU332">
        <v>0</v>
      </c>
      <c r="CE332" t="str">
        <f>"20:20:57.053"</f>
        <v>20:20:57.053</v>
      </c>
      <c r="CF332">
        <v>52669794</v>
      </c>
      <c r="CS332">
        <v>0</v>
      </c>
      <c r="CT332">
        <v>2</v>
      </c>
      <c r="CU332">
        <v>0</v>
      </c>
      <c r="CV332">
        <v>2</v>
      </c>
      <c r="CW332">
        <v>0</v>
      </c>
      <c r="CX332">
        <v>2</v>
      </c>
      <c r="CY332">
        <v>7</v>
      </c>
      <c r="CZ332" t="s">
        <v>131</v>
      </c>
      <c r="DA332">
        <v>116</v>
      </c>
      <c r="DB332">
        <v>3</v>
      </c>
      <c r="DC332" t="s">
        <v>132</v>
      </c>
      <c r="DD332" t="s">
        <v>133</v>
      </c>
      <c r="DG332">
        <v>8248888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1</v>
      </c>
      <c r="DQ332">
        <v>0</v>
      </c>
      <c r="DR332">
        <v>0</v>
      </c>
      <c r="DS332">
        <v>0</v>
      </c>
    </row>
    <row r="333" spans="1:123" x14ac:dyDescent="0.25">
      <c r="A333" t="str">
        <f>"11/29/2023 20:20:57.539"</f>
        <v>11/29/2023 20:20:57.539</v>
      </c>
      <c r="C333" t="str">
        <f t="shared" si="41"/>
        <v>FFDF53C0</v>
      </c>
      <c r="D333" t="s">
        <v>123</v>
      </c>
      <c r="E333">
        <v>14</v>
      </c>
      <c r="F333">
        <v>1014</v>
      </c>
      <c r="G333" t="s">
        <v>124</v>
      </c>
      <c r="J333" t="s">
        <v>125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 t="shared" si="45"/>
        <v>20:20:57.047</v>
      </c>
      <c r="T333" t="str">
        <f t="shared" si="45"/>
        <v>20:20:57.047</v>
      </c>
      <c r="U333" t="str">
        <f t="shared" si="43"/>
        <v>AA0632</v>
      </c>
      <c r="V333">
        <v>0</v>
      </c>
      <c r="W333">
        <v>0</v>
      </c>
      <c r="X333">
        <v>2</v>
      </c>
      <c r="Y333">
        <v>0</v>
      </c>
      <c r="AA333">
        <v>0</v>
      </c>
      <c r="AB333">
        <v>9</v>
      </c>
      <c r="AC333">
        <v>3</v>
      </c>
      <c r="AD333">
        <v>0</v>
      </c>
      <c r="AE333">
        <v>10</v>
      </c>
      <c r="AF333" t="s">
        <v>126</v>
      </c>
      <c r="AG333">
        <v>0</v>
      </c>
      <c r="AH333">
        <v>0</v>
      </c>
      <c r="AI333">
        <v>2</v>
      </c>
      <c r="AJ333">
        <v>0</v>
      </c>
      <c r="AK333" t="s">
        <v>297</v>
      </c>
      <c r="AL333">
        <v>31.959422</v>
      </c>
      <c r="AM333" t="s">
        <v>298</v>
      </c>
      <c r="AN333">
        <v>-101.12679</v>
      </c>
      <c r="AQ333" t="s">
        <v>129</v>
      </c>
      <c r="AR333">
        <v>79</v>
      </c>
      <c r="AS333">
        <v>-35</v>
      </c>
      <c r="AT333">
        <v>-128</v>
      </c>
      <c r="BB333" t="str">
        <f t="shared" si="44"/>
        <v>1200</v>
      </c>
      <c r="BC333">
        <v>1</v>
      </c>
      <c r="BD333" t="str">
        <f t="shared" si="39"/>
        <v xml:space="preserve">N745MB  </v>
      </c>
      <c r="BE333">
        <v>1</v>
      </c>
      <c r="BG333">
        <v>0</v>
      </c>
      <c r="BH333">
        <v>0</v>
      </c>
      <c r="BI333">
        <v>0</v>
      </c>
      <c r="BL333" t="s">
        <v>130</v>
      </c>
      <c r="BM333">
        <v>1</v>
      </c>
      <c r="BN333">
        <v>0</v>
      </c>
      <c r="BO333">
        <v>0</v>
      </c>
      <c r="BP333">
        <v>0</v>
      </c>
      <c r="BT333">
        <v>0</v>
      </c>
      <c r="BU333">
        <v>0</v>
      </c>
      <c r="CE333" t="str">
        <f>"20:20:57.053"</f>
        <v>20:20:57.053</v>
      </c>
      <c r="CF333">
        <v>52669794</v>
      </c>
      <c r="CS333">
        <v>0</v>
      </c>
      <c r="CT333">
        <v>2</v>
      </c>
      <c r="CU333">
        <v>0</v>
      </c>
      <c r="CV333">
        <v>2</v>
      </c>
      <c r="CW333">
        <v>0</v>
      </c>
      <c r="CX333">
        <v>2</v>
      </c>
      <c r="CY333">
        <v>7</v>
      </c>
      <c r="CZ333" t="s">
        <v>131</v>
      </c>
      <c r="DA333">
        <v>116</v>
      </c>
      <c r="DB333">
        <v>3</v>
      </c>
      <c r="DC333" t="s">
        <v>132</v>
      </c>
      <c r="DD333" t="s">
        <v>133</v>
      </c>
      <c r="DG333">
        <v>8248888</v>
      </c>
      <c r="DI333">
        <v>0</v>
      </c>
      <c r="DJ333">
        <v>0</v>
      </c>
      <c r="DK333">
        <v>1</v>
      </c>
      <c r="DL333">
        <v>0</v>
      </c>
      <c r="DM333">
        <v>0</v>
      </c>
      <c r="DN333">
        <v>0</v>
      </c>
      <c r="DO333">
        <v>0</v>
      </c>
      <c r="DP333">
        <v>1</v>
      </c>
      <c r="DQ333">
        <v>0</v>
      </c>
      <c r="DR333">
        <v>0</v>
      </c>
      <c r="DS333">
        <v>0</v>
      </c>
    </row>
    <row r="334" spans="1:123" x14ac:dyDescent="0.25">
      <c r="A334" t="str">
        <f>"11/29/2023 20:20:57.539"</f>
        <v>11/29/2023 20:20:57.539</v>
      </c>
      <c r="C334" t="str">
        <f t="shared" si="41"/>
        <v>FFDF53C0</v>
      </c>
      <c r="D334" t="s">
        <v>135</v>
      </c>
      <c r="E334">
        <v>31</v>
      </c>
      <c r="H334">
        <v>285</v>
      </c>
      <c r="I334" t="s">
        <v>136</v>
      </c>
      <c r="J334" t="s">
        <v>137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 t="shared" si="45"/>
        <v>20:20:57.047</v>
      </c>
      <c r="T334" t="str">
        <f t="shared" si="45"/>
        <v>20:20:57.047</v>
      </c>
      <c r="U334" t="str">
        <f t="shared" si="43"/>
        <v>AA0632</v>
      </c>
      <c r="V334">
        <v>0</v>
      </c>
      <c r="W334">
        <v>0</v>
      </c>
      <c r="X334">
        <v>2</v>
      </c>
      <c r="Y334">
        <v>0</v>
      </c>
      <c r="AA334">
        <v>0</v>
      </c>
      <c r="AB334">
        <v>9</v>
      </c>
      <c r="AC334">
        <v>3</v>
      </c>
      <c r="AD334">
        <v>0</v>
      </c>
      <c r="AE334">
        <v>10</v>
      </c>
      <c r="AF334" t="s">
        <v>126</v>
      </c>
      <c r="AG334">
        <v>0</v>
      </c>
      <c r="AH334">
        <v>0</v>
      </c>
      <c r="AI334">
        <v>2</v>
      </c>
      <c r="AJ334">
        <v>0</v>
      </c>
      <c r="AK334" t="s">
        <v>297</v>
      </c>
      <c r="AL334">
        <v>31.959422</v>
      </c>
      <c r="AM334" t="s">
        <v>298</v>
      </c>
      <c r="AN334">
        <v>-101.12679</v>
      </c>
      <c r="AQ334" t="s">
        <v>129</v>
      </c>
      <c r="AR334">
        <v>79</v>
      </c>
      <c r="AS334">
        <v>-35</v>
      </c>
      <c r="AT334">
        <v>-128</v>
      </c>
      <c r="BB334" t="str">
        <f t="shared" si="44"/>
        <v>1200</v>
      </c>
      <c r="BC334">
        <v>1</v>
      </c>
      <c r="BD334" t="str">
        <f t="shared" si="39"/>
        <v xml:space="preserve">N745MB  </v>
      </c>
      <c r="BE334">
        <v>1</v>
      </c>
      <c r="BG334">
        <v>0</v>
      </c>
      <c r="BH334">
        <v>0</v>
      </c>
      <c r="BI334">
        <v>0</v>
      </c>
      <c r="BL334" t="s">
        <v>130</v>
      </c>
      <c r="BM334">
        <v>1</v>
      </c>
      <c r="BN334">
        <v>0</v>
      </c>
      <c r="BO334">
        <v>0</v>
      </c>
      <c r="BP334">
        <v>0</v>
      </c>
      <c r="BT334">
        <v>0</v>
      </c>
      <c r="BU334">
        <v>0</v>
      </c>
      <c r="CE334" t="str">
        <f>"20:20:57.053"</f>
        <v>20:20:57.053</v>
      </c>
      <c r="CF334">
        <v>52669794</v>
      </c>
      <c r="CS334">
        <v>0</v>
      </c>
      <c r="CT334">
        <v>2</v>
      </c>
      <c r="CU334">
        <v>0</v>
      </c>
      <c r="CV334">
        <v>2</v>
      </c>
      <c r="CW334">
        <v>0</v>
      </c>
      <c r="CX334">
        <v>2</v>
      </c>
      <c r="CY334">
        <v>7</v>
      </c>
      <c r="CZ334" t="s">
        <v>131</v>
      </c>
      <c r="DA334">
        <v>116</v>
      </c>
      <c r="DB334">
        <v>3</v>
      </c>
      <c r="DC334" t="s">
        <v>132</v>
      </c>
      <c r="DD334" t="s">
        <v>133</v>
      </c>
      <c r="DG334">
        <v>8248888</v>
      </c>
      <c r="DI334">
        <v>0</v>
      </c>
      <c r="DJ334">
        <v>0</v>
      </c>
      <c r="DK334">
        <v>1</v>
      </c>
      <c r="DL334">
        <v>0</v>
      </c>
      <c r="DM334">
        <v>0</v>
      </c>
      <c r="DN334">
        <v>0</v>
      </c>
      <c r="DO334">
        <v>0</v>
      </c>
      <c r="DP334">
        <v>1</v>
      </c>
      <c r="DQ334">
        <v>0</v>
      </c>
      <c r="DR334">
        <v>0</v>
      </c>
      <c r="DS334">
        <v>0</v>
      </c>
    </row>
    <row r="335" spans="1:123" x14ac:dyDescent="0.25">
      <c r="A335" t="str">
        <f>"11/29/2023 20:20:58.367"</f>
        <v>11/29/2023 20:20:58.367</v>
      </c>
      <c r="C335" t="str">
        <f t="shared" si="41"/>
        <v>FFDF53C0</v>
      </c>
      <c r="D335" t="s">
        <v>123</v>
      </c>
      <c r="E335">
        <v>1</v>
      </c>
      <c r="F335">
        <v>1001</v>
      </c>
      <c r="G335" t="s">
        <v>134</v>
      </c>
      <c r="J335" t="s">
        <v>125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"20:20:57.945"</f>
        <v>20:20:57.945</v>
      </c>
      <c r="T335" t="str">
        <f>"20:20:57.545"</f>
        <v>20:20:57.545</v>
      </c>
      <c r="U335" t="str">
        <f t="shared" si="43"/>
        <v>AA0632</v>
      </c>
      <c r="V335">
        <v>0</v>
      </c>
      <c r="W335">
        <v>0</v>
      </c>
      <c r="X335">
        <v>2</v>
      </c>
      <c r="Y335">
        <v>0</v>
      </c>
      <c r="AA335">
        <v>0</v>
      </c>
      <c r="AB335">
        <v>9</v>
      </c>
      <c r="AC335">
        <v>3</v>
      </c>
      <c r="AD335">
        <v>0</v>
      </c>
      <c r="AE335">
        <v>10</v>
      </c>
      <c r="AF335" t="s">
        <v>126</v>
      </c>
      <c r="AG335">
        <v>0</v>
      </c>
      <c r="AH335">
        <v>0</v>
      </c>
      <c r="AI335">
        <v>2</v>
      </c>
      <c r="AJ335">
        <v>0</v>
      </c>
      <c r="AK335" t="s">
        <v>299</v>
      </c>
      <c r="AL335">
        <v>31.959271000000001</v>
      </c>
      <c r="AM335" t="s">
        <v>300</v>
      </c>
      <c r="AN335">
        <v>-101.12640399999999</v>
      </c>
      <c r="AQ335" t="s">
        <v>129</v>
      </c>
      <c r="AR335">
        <v>79</v>
      </c>
      <c r="AS335">
        <v>-36</v>
      </c>
      <c r="AT335">
        <v>-192</v>
      </c>
      <c r="BB335" t="str">
        <f t="shared" si="44"/>
        <v>1200</v>
      </c>
      <c r="BC335">
        <v>1</v>
      </c>
      <c r="BD335" t="str">
        <f t="shared" si="39"/>
        <v xml:space="preserve">N745MB  </v>
      </c>
      <c r="BE335">
        <v>1</v>
      </c>
      <c r="BG335">
        <v>0</v>
      </c>
      <c r="BH335">
        <v>0</v>
      </c>
      <c r="BI335">
        <v>0</v>
      </c>
      <c r="BL335" t="s">
        <v>130</v>
      </c>
      <c r="BM335">
        <v>1</v>
      </c>
      <c r="BN335">
        <v>0</v>
      </c>
      <c r="BO335">
        <v>0</v>
      </c>
      <c r="BP335">
        <v>0</v>
      </c>
      <c r="BT335">
        <v>0</v>
      </c>
      <c r="BU335">
        <v>0</v>
      </c>
      <c r="CE335" t="str">
        <f>"20:20:57.953"</f>
        <v>20:20:57.953</v>
      </c>
      <c r="CF335">
        <v>952610665</v>
      </c>
      <c r="CS335">
        <v>0</v>
      </c>
      <c r="CT335">
        <v>2</v>
      </c>
      <c r="CU335">
        <v>0</v>
      </c>
      <c r="CV335">
        <v>2</v>
      </c>
      <c r="CW335">
        <v>0</v>
      </c>
      <c r="CX335">
        <v>2</v>
      </c>
      <c r="CY335">
        <v>7</v>
      </c>
      <c r="CZ335" t="s">
        <v>131</v>
      </c>
      <c r="DA335">
        <v>116</v>
      </c>
      <c r="DB335">
        <v>3</v>
      </c>
      <c r="DC335" t="s">
        <v>132</v>
      </c>
      <c r="DD335" t="s">
        <v>133</v>
      </c>
      <c r="DG335">
        <v>8249407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1</v>
      </c>
      <c r="DQ335">
        <v>0</v>
      </c>
      <c r="DR335">
        <v>0</v>
      </c>
      <c r="DS335">
        <v>0</v>
      </c>
    </row>
    <row r="336" spans="1:123" x14ac:dyDescent="0.25">
      <c r="A336" t="str">
        <f>"11/29/2023 20:20:58.367"</f>
        <v>11/29/2023 20:20:58.367</v>
      </c>
      <c r="C336" t="str">
        <f t="shared" si="41"/>
        <v>FFDF53C0</v>
      </c>
      <c r="D336" t="s">
        <v>123</v>
      </c>
      <c r="E336">
        <v>14</v>
      </c>
      <c r="F336">
        <v>1014</v>
      </c>
      <c r="G336" t="s">
        <v>124</v>
      </c>
      <c r="J336" t="s">
        <v>125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"20:20:57.945"</f>
        <v>20:20:57.945</v>
      </c>
      <c r="T336" t="str">
        <f>"20:20:57.545"</f>
        <v>20:20:57.545</v>
      </c>
      <c r="U336" t="str">
        <f t="shared" si="43"/>
        <v>AA0632</v>
      </c>
      <c r="V336">
        <v>0</v>
      </c>
      <c r="W336">
        <v>0</v>
      </c>
      <c r="X336">
        <v>2</v>
      </c>
      <c r="Y336">
        <v>0</v>
      </c>
      <c r="AA336">
        <v>0</v>
      </c>
      <c r="AB336">
        <v>9</v>
      </c>
      <c r="AC336">
        <v>3</v>
      </c>
      <c r="AD336">
        <v>0</v>
      </c>
      <c r="AE336">
        <v>10</v>
      </c>
      <c r="AF336" t="s">
        <v>126</v>
      </c>
      <c r="AG336">
        <v>0</v>
      </c>
      <c r="AH336">
        <v>0</v>
      </c>
      <c r="AI336">
        <v>2</v>
      </c>
      <c r="AJ336">
        <v>0</v>
      </c>
      <c r="AK336" t="s">
        <v>299</v>
      </c>
      <c r="AL336">
        <v>31.959271000000001</v>
      </c>
      <c r="AM336" t="s">
        <v>300</v>
      </c>
      <c r="AN336">
        <v>-101.12640399999999</v>
      </c>
      <c r="AQ336" t="s">
        <v>129</v>
      </c>
      <c r="AR336">
        <v>79</v>
      </c>
      <c r="AS336">
        <v>-36</v>
      </c>
      <c r="AT336">
        <v>-192</v>
      </c>
      <c r="BB336" t="str">
        <f t="shared" si="44"/>
        <v>1200</v>
      </c>
      <c r="BC336">
        <v>1</v>
      </c>
      <c r="BD336" t="str">
        <f t="shared" si="39"/>
        <v xml:space="preserve">N745MB  </v>
      </c>
      <c r="BE336">
        <v>1</v>
      </c>
      <c r="BG336">
        <v>0</v>
      </c>
      <c r="BH336">
        <v>0</v>
      </c>
      <c r="BI336">
        <v>0</v>
      </c>
      <c r="BL336" t="s">
        <v>130</v>
      </c>
      <c r="BM336">
        <v>1</v>
      </c>
      <c r="BN336">
        <v>0</v>
      </c>
      <c r="BO336">
        <v>0</v>
      </c>
      <c r="BP336">
        <v>0</v>
      </c>
      <c r="BT336">
        <v>0</v>
      </c>
      <c r="BU336">
        <v>0</v>
      </c>
      <c r="CE336" t="str">
        <f>"20:20:57.953"</f>
        <v>20:20:57.953</v>
      </c>
      <c r="CF336">
        <v>952610665</v>
      </c>
      <c r="CS336">
        <v>0</v>
      </c>
      <c r="CT336">
        <v>2</v>
      </c>
      <c r="CU336">
        <v>0</v>
      </c>
      <c r="CV336">
        <v>2</v>
      </c>
      <c r="CW336">
        <v>0</v>
      </c>
      <c r="CX336">
        <v>2</v>
      </c>
      <c r="CY336">
        <v>7</v>
      </c>
      <c r="CZ336" t="s">
        <v>131</v>
      </c>
      <c r="DA336">
        <v>116</v>
      </c>
      <c r="DB336">
        <v>3</v>
      </c>
      <c r="DC336" t="s">
        <v>132</v>
      </c>
      <c r="DD336" t="s">
        <v>133</v>
      </c>
      <c r="DG336">
        <v>8249407</v>
      </c>
      <c r="DI336">
        <v>0</v>
      </c>
      <c r="DJ336">
        <v>0</v>
      </c>
      <c r="DK336">
        <v>1</v>
      </c>
      <c r="DL336">
        <v>0</v>
      </c>
      <c r="DM336">
        <v>0</v>
      </c>
      <c r="DN336">
        <v>0</v>
      </c>
      <c r="DO336">
        <v>0</v>
      </c>
      <c r="DP336">
        <v>1</v>
      </c>
      <c r="DQ336">
        <v>0</v>
      </c>
      <c r="DR336">
        <v>0</v>
      </c>
      <c r="DS336">
        <v>0</v>
      </c>
    </row>
    <row r="337" spans="1:123" x14ac:dyDescent="0.25">
      <c r="A337" t="str">
        <f>"11/29/2023 20:20:58.367"</f>
        <v>11/29/2023 20:20:58.367</v>
      </c>
      <c r="C337" t="str">
        <f t="shared" si="41"/>
        <v>FFDF53C0</v>
      </c>
      <c r="D337" t="s">
        <v>135</v>
      </c>
      <c r="E337">
        <v>31</v>
      </c>
      <c r="H337">
        <v>285</v>
      </c>
      <c r="I337" t="s">
        <v>136</v>
      </c>
      <c r="J337" t="s">
        <v>137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"20:20:57.945"</f>
        <v>20:20:57.945</v>
      </c>
      <c r="T337" t="str">
        <f>"20:20:57.545"</f>
        <v>20:20:57.545</v>
      </c>
      <c r="U337" t="str">
        <f t="shared" si="43"/>
        <v>AA0632</v>
      </c>
      <c r="V337">
        <v>0</v>
      </c>
      <c r="W337">
        <v>0</v>
      </c>
      <c r="X337">
        <v>2</v>
      </c>
      <c r="Y337">
        <v>0</v>
      </c>
      <c r="AA337">
        <v>0</v>
      </c>
      <c r="AB337">
        <v>9</v>
      </c>
      <c r="AC337">
        <v>3</v>
      </c>
      <c r="AD337">
        <v>0</v>
      </c>
      <c r="AE337">
        <v>10</v>
      </c>
      <c r="AF337" t="s">
        <v>126</v>
      </c>
      <c r="AG337">
        <v>0</v>
      </c>
      <c r="AH337">
        <v>0</v>
      </c>
      <c r="AI337">
        <v>2</v>
      </c>
      <c r="AJ337">
        <v>0</v>
      </c>
      <c r="AK337" t="s">
        <v>299</v>
      </c>
      <c r="AL337">
        <v>31.959271000000001</v>
      </c>
      <c r="AM337" t="s">
        <v>300</v>
      </c>
      <c r="AN337">
        <v>-101.12640399999999</v>
      </c>
      <c r="AQ337" t="s">
        <v>129</v>
      </c>
      <c r="AR337">
        <v>79</v>
      </c>
      <c r="AS337">
        <v>-36</v>
      </c>
      <c r="AT337">
        <v>-192</v>
      </c>
      <c r="BB337" t="str">
        <f t="shared" si="44"/>
        <v>1200</v>
      </c>
      <c r="BC337">
        <v>1</v>
      </c>
      <c r="BD337" t="str">
        <f t="shared" si="39"/>
        <v xml:space="preserve">N745MB  </v>
      </c>
      <c r="BE337">
        <v>1</v>
      </c>
      <c r="BG337">
        <v>0</v>
      </c>
      <c r="BH337">
        <v>0</v>
      </c>
      <c r="BI337">
        <v>0</v>
      </c>
      <c r="BL337" t="s">
        <v>130</v>
      </c>
      <c r="BM337">
        <v>1</v>
      </c>
      <c r="BN337">
        <v>0</v>
      </c>
      <c r="BO337">
        <v>0</v>
      </c>
      <c r="BP337">
        <v>0</v>
      </c>
      <c r="BT337">
        <v>0</v>
      </c>
      <c r="BU337">
        <v>0</v>
      </c>
      <c r="CE337" t="str">
        <f>"20:20:57.953"</f>
        <v>20:20:57.953</v>
      </c>
      <c r="CF337">
        <v>952610665</v>
      </c>
      <c r="CS337">
        <v>0</v>
      </c>
      <c r="CT337">
        <v>2</v>
      </c>
      <c r="CU337">
        <v>0</v>
      </c>
      <c r="CV337">
        <v>2</v>
      </c>
      <c r="CW337">
        <v>0</v>
      </c>
      <c r="CX337">
        <v>2</v>
      </c>
      <c r="CY337">
        <v>7</v>
      </c>
      <c r="CZ337" t="s">
        <v>131</v>
      </c>
      <c r="DA337">
        <v>116</v>
      </c>
      <c r="DB337">
        <v>3</v>
      </c>
      <c r="DC337" t="s">
        <v>132</v>
      </c>
      <c r="DD337" t="s">
        <v>133</v>
      </c>
      <c r="DG337">
        <v>8249407</v>
      </c>
      <c r="DI337">
        <v>0</v>
      </c>
      <c r="DJ337">
        <v>0</v>
      </c>
      <c r="DK337">
        <v>1</v>
      </c>
      <c r="DL337">
        <v>0</v>
      </c>
      <c r="DM337">
        <v>0</v>
      </c>
      <c r="DN337">
        <v>0</v>
      </c>
      <c r="DO337">
        <v>0</v>
      </c>
      <c r="DP337">
        <v>1</v>
      </c>
      <c r="DQ337">
        <v>0</v>
      </c>
      <c r="DR337">
        <v>0</v>
      </c>
      <c r="DS337">
        <v>0</v>
      </c>
    </row>
    <row r="338" spans="1:123" x14ac:dyDescent="0.25">
      <c r="A338" t="str">
        <f>"11/29/2023 20:20:58.367"</f>
        <v>11/29/2023 20:20:58.367</v>
      </c>
      <c r="C338" t="str">
        <f t="shared" si="41"/>
        <v>FFDF53C0</v>
      </c>
      <c r="D338" t="s">
        <v>138</v>
      </c>
      <c r="E338">
        <v>3</v>
      </c>
      <c r="H338">
        <v>160</v>
      </c>
      <c r="I338" t="s">
        <v>124</v>
      </c>
      <c r="J338" t="s">
        <v>139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"20:20:57.945"</f>
        <v>20:20:57.945</v>
      </c>
      <c r="T338" t="str">
        <f>"20:20:57.545"</f>
        <v>20:20:57.545</v>
      </c>
      <c r="U338" t="str">
        <f t="shared" si="43"/>
        <v>AA0632</v>
      </c>
      <c r="V338">
        <v>0</v>
      </c>
      <c r="W338">
        <v>0</v>
      </c>
      <c r="X338">
        <v>2</v>
      </c>
      <c r="Y338">
        <v>0</v>
      </c>
      <c r="AA338">
        <v>0</v>
      </c>
      <c r="AB338">
        <v>9</v>
      </c>
      <c r="AC338">
        <v>3</v>
      </c>
      <c r="AD338">
        <v>0</v>
      </c>
      <c r="AE338">
        <v>10</v>
      </c>
      <c r="AF338" t="s">
        <v>126</v>
      </c>
      <c r="AG338">
        <v>0</v>
      </c>
      <c r="AH338">
        <v>0</v>
      </c>
      <c r="AI338">
        <v>2</v>
      </c>
      <c r="AJ338">
        <v>0</v>
      </c>
      <c r="AK338" t="s">
        <v>299</v>
      </c>
      <c r="AL338">
        <v>31.959271000000001</v>
      </c>
      <c r="AM338" t="s">
        <v>300</v>
      </c>
      <c r="AN338">
        <v>-101.12640399999999</v>
      </c>
      <c r="AQ338" t="s">
        <v>129</v>
      </c>
      <c r="AR338">
        <v>79</v>
      </c>
      <c r="AS338">
        <v>-36</v>
      </c>
      <c r="AT338">
        <v>-192</v>
      </c>
      <c r="BB338" t="str">
        <f t="shared" si="44"/>
        <v>1200</v>
      </c>
      <c r="BC338">
        <v>1</v>
      </c>
      <c r="BD338" t="str">
        <f t="shared" ref="BD338:BD401" si="46">"N745MB  "</f>
        <v xml:space="preserve">N745MB  </v>
      </c>
      <c r="BE338">
        <v>1</v>
      </c>
      <c r="BG338">
        <v>0</v>
      </c>
      <c r="BH338">
        <v>0</v>
      </c>
      <c r="BI338">
        <v>0</v>
      </c>
      <c r="BL338" t="s">
        <v>130</v>
      </c>
      <c r="BM338">
        <v>1</v>
      </c>
      <c r="BN338">
        <v>0</v>
      </c>
      <c r="BO338">
        <v>0</v>
      </c>
      <c r="BP338">
        <v>0</v>
      </c>
      <c r="BT338">
        <v>0</v>
      </c>
      <c r="BU338">
        <v>0</v>
      </c>
      <c r="CE338" t="str">
        <f>"20:20:57.953"</f>
        <v>20:20:57.953</v>
      </c>
      <c r="CF338">
        <v>952610665</v>
      </c>
      <c r="CS338">
        <v>0</v>
      </c>
      <c r="CT338">
        <v>2</v>
      </c>
      <c r="CU338">
        <v>0</v>
      </c>
      <c r="CV338">
        <v>2</v>
      </c>
      <c r="CW338">
        <v>0</v>
      </c>
      <c r="CX338">
        <v>2</v>
      </c>
      <c r="CY338">
        <v>7</v>
      </c>
      <c r="CZ338" t="s">
        <v>131</v>
      </c>
      <c r="DA338">
        <v>116</v>
      </c>
      <c r="DB338">
        <v>3</v>
      </c>
      <c r="DC338" t="s">
        <v>132</v>
      </c>
      <c r="DD338" t="s">
        <v>133</v>
      </c>
      <c r="DG338">
        <v>8249407</v>
      </c>
      <c r="DI338">
        <v>0</v>
      </c>
      <c r="DJ338">
        <v>0</v>
      </c>
      <c r="DK338">
        <v>1</v>
      </c>
      <c r="DL338">
        <v>0</v>
      </c>
      <c r="DM338">
        <v>0</v>
      </c>
      <c r="DN338">
        <v>0</v>
      </c>
      <c r="DO338">
        <v>0</v>
      </c>
      <c r="DP338">
        <v>1</v>
      </c>
      <c r="DQ338">
        <v>0</v>
      </c>
      <c r="DR338">
        <v>0</v>
      </c>
      <c r="DS338">
        <v>0</v>
      </c>
    </row>
    <row r="339" spans="1:123" x14ac:dyDescent="0.25">
      <c r="A339" t="str">
        <f>"11/29/2023 20:20:59.398"</f>
        <v>11/29/2023 20:20:59.398</v>
      </c>
      <c r="C339" t="str">
        <f t="shared" si="41"/>
        <v>FFDF53C0</v>
      </c>
      <c r="D339" t="s">
        <v>135</v>
      </c>
      <c r="E339">
        <v>31</v>
      </c>
      <c r="H339">
        <v>285</v>
      </c>
      <c r="I339" t="s">
        <v>136</v>
      </c>
      <c r="J339" t="s">
        <v>137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"20:20:59.039"</f>
        <v>20:20:59.039</v>
      </c>
      <c r="T339" t="str">
        <f>"20:20:58.639"</f>
        <v>20:20:58.639</v>
      </c>
      <c r="U339" t="str">
        <f t="shared" si="43"/>
        <v>AA0632</v>
      </c>
      <c r="V339">
        <v>0</v>
      </c>
      <c r="W339">
        <v>0</v>
      </c>
      <c r="X339">
        <v>2</v>
      </c>
      <c r="Y339">
        <v>0</v>
      </c>
      <c r="AA339">
        <v>0</v>
      </c>
      <c r="AB339">
        <v>9</v>
      </c>
      <c r="AC339">
        <v>3</v>
      </c>
      <c r="AD339">
        <v>0</v>
      </c>
      <c r="AE339">
        <v>10</v>
      </c>
      <c r="AF339" t="s">
        <v>126</v>
      </c>
      <c r="AG339">
        <v>0</v>
      </c>
      <c r="AH339">
        <v>0</v>
      </c>
      <c r="AI339">
        <v>2</v>
      </c>
      <c r="AJ339">
        <v>0</v>
      </c>
      <c r="AK339" t="s">
        <v>301</v>
      </c>
      <c r="AL339">
        <v>31.959099999999999</v>
      </c>
      <c r="AM339" t="s">
        <v>302</v>
      </c>
      <c r="AN339">
        <v>-101.125975</v>
      </c>
      <c r="AQ339" t="s">
        <v>129</v>
      </c>
      <c r="AR339">
        <v>79</v>
      </c>
      <c r="AS339">
        <v>-37</v>
      </c>
      <c r="AT339">
        <v>-256</v>
      </c>
      <c r="BB339" t="str">
        <f t="shared" si="44"/>
        <v>1200</v>
      </c>
      <c r="BC339">
        <v>1</v>
      </c>
      <c r="BD339" t="str">
        <f t="shared" si="46"/>
        <v xml:space="preserve">N745MB  </v>
      </c>
      <c r="BE339">
        <v>1</v>
      </c>
      <c r="BG339">
        <v>0</v>
      </c>
      <c r="BH339">
        <v>0</v>
      </c>
      <c r="BI339">
        <v>0</v>
      </c>
      <c r="BL339" t="s">
        <v>130</v>
      </c>
      <c r="BM339">
        <v>1</v>
      </c>
      <c r="BN339">
        <v>0</v>
      </c>
      <c r="BO339">
        <v>0</v>
      </c>
      <c r="BP339">
        <v>0</v>
      </c>
      <c r="BT339">
        <v>0</v>
      </c>
      <c r="BU339">
        <v>0</v>
      </c>
      <c r="CE339" t="str">
        <f>"20:20:59.041"</f>
        <v>20:20:59.041</v>
      </c>
      <c r="CF339">
        <v>40534067</v>
      </c>
      <c r="CS339">
        <v>0</v>
      </c>
      <c r="CT339">
        <v>2</v>
      </c>
      <c r="CU339">
        <v>0</v>
      </c>
      <c r="CV339">
        <v>2</v>
      </c>
      <c r="CW339">
        <v>0</v>
      </c>
      <c r="CX339">
        <v>2</v>
      </c>
      <c r="CY339">
        <v>7</v>
      </c>
      <c r="CZ339" t="s">
        <v>131</v>
      </c>
      <c r="DA339">
        <v>116</v>
      </c>
      <c r="DB339">
        <v>3</v>
      </c>
      <c r="DC339" t="s">
        <v>132</v>
      </c>
      <c r="DD339" t="s">
        <v>133</v>
      </c>
      <c r="DG339">
        <v>8250041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1</v>
      </c>
      <c r="DQ339">
        <v>0</v>
      </c>
      <c r="DR339">
        <v>0</v>
      </c>
      <c r="DS339">
        <v>0</v>
      </c>
    </row>
    <row r="340" spans="1:123" x14ac:dyDescent="0.25">
      <c r="A340" t="str">
        <f>"11/29/2023 20:20:59.398"</f>
        <v>11/29/2023 20:20:59.398</v>
      </c>
      <c r="C340" t="str">
        <f t="shared" si="41"/>
        <v>FFDF53C0</v>
      </c>
      <c r="D340" t="s">
        <v>138</v>
      </c>
      <c r="E340">
        <v>3</v>
      </c>
      <c r="H340">
        <v>160</v>
      </c>
      <c r="I340" t="s">
        <v>124</v>
      </c>
      <c r="J340" t="s">
        <v>139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"20:20:59.039"</f>
        <v>20:20:59.039</v>
      </c>
      <c r="T340" t="str">
        <f>"20:20:58.639"</f>
        <v>20:20:58.639</v>
      </c>
      <c r="U340" t="str">
        <f t="shared" si="43"/>
        <v>AA0632</v>
      </c>
      <c r="V340">
        <v>0</v>
      </c>
      <c r="W340">
        <v>0</v>
      </c>
      <c r="X340">
        <v>2</v>
      </c>
      <c r="Y340">
        <v>0</v>
      </c>
      <c r="AA340">
        <v>0</v>
      </c>
      <c r="AB340">
        <v>9</v>
      </c>
      <c r="AC340">
        <v>3</v>
      </c>
      <c r="AD340">
        <v>0</v>
      </c>
      <c r="AE340">
        <v>10</v>
      </c>
      <c r="AF340" t="s">
        <v>126</v>
      </c>
      <c r="AG340">
        <v>0</v>
      </c>
      <c r="AH340">
        <v>0</v>
      </c>
      <c r="AI340">
        <v>2</v>
      </c>
      <c r="AJ340">
        <v>0</v>
      </c>
      <c r="AK340" t="s">
        <v>301</v>
      </c>
      <c r="AL340">
        <v>31.959099999999999</v>
      </c>
      <c r="AM340" t="s">
        <v>302</v>
      </c>
      <c r="AN340">
        <v>-101.125975</v>
      </c>
      <c r="AQ340" t="s">
        <v>129</v>
      </c>
      <c r="AR340">
        <v>79</v>
      </c>
      <c r="AS340">
        <v>-37</v>
      </c>
      <c r="AT340">
        <v>-256</v>
      </c>
      <c r="BB340" t="str">
        <f t="shared" si="44"/>
        <v>1200</v>
      </c>
      <c r="BC340">
        <v>1</v>
      </c>
      <c r="BD340" t="str">
        <f t="shared" si="46"/>
        <v xml:space="preserve">N745MB  </v>
      </c>
      <c r="BE340">
        <v>1</v>
      </c>
      <c r="BG340">
        <v>0</v>
      </c>
      <c r="BH340">
        <v>0</v>
      </c>
      <c r="BI340">
        <v>0</v>
      </c>
      <c r="BL340" t="s">
        <v>130</v>
      </c>
      <c r="BM340">
        <v>1</v>
      </c>
      <c r="BN340">
        <v>0</v>
      </c>
      <c r="BO340">
        <v>0</v>
      </c>
      <c r="BP340">
        <v>0</v>
      </c>
      <c r="BT340">
        <v>0</v>
      </c>
      <c r="BU340">
        <v>0</v>
      </c>
      <c r="CE340" t="str">
        <f>"20:20:59.041"</f>
        <v>20:20:59.041</v>
      </c>
      <c r="CF340">
        <v>40534067</v>
      </c>
      <c r="CS340">
        <v>0</v>
      </c>
      <c r="CT340">
        <v>2</v>
      </c>
      <c r="CU340">
        <v>0</v>
      </c>
      <c r="CV340">
        <v>2</v>
      </c>
      <c r="CW340">
        <v>0</v>
      </c>
      <c r="CX340">
        <v>2</v>
      </c>
      <c r="CY340">
        <v>7</v>
      </c>
      <c r="CZ340" t="s">
        <v>131</v>
      </c>
      <c r="DA340">
        <v>116</v>
      </c>
      <c r="DB340">
        <v>3</v>
      </c>
      <c r="DC340" t="s">
        <v>132</v>
      </c>
      <c r="DD340" t="s">
        <v>133</v>
      </c>
      <c r="DG340">
        <v>8250041</v>
      </c>
      <c r="DI340">
        <v>0</v>
      </c>
      <c r="DJ340">
        <v>0</v>
      </c>
      <c r="DK340">
        <v>1</v>
      </c>
      <c r="DL340">
        <v>0</v>
      </c>
      <c r="DM340">
        <v>0</v>
      </c>
      <c r="DN340">
        <v>0</v>
      </c>
      <c r="DO340">
        <v>0</v>
      </c>
      <c r="DP340">
        <v>1</v>
      </c>
      <c r="DQ340">
        <v>0</v>
      </c>
      <c r="DR340">
        <v>0</v>
      </c>
      <c r="DS340">
        <v>0</v>
      </c>
    </row>
    <row r="341" spans="1:123" x14ac:dyDescent="0.25">
      <c r="A341" t="str">
        <f>"11/29/2023 20:20:59.414"</f>
        <v>11/29/2023 20:20:59.414</v>
      </c>
      <c r="C341" t="str">
        <f t="shared" si="41"/>
        <v>FFDF53C0</v>
      </c>
      <c r="D341" t="s">
        <v>123</v>
      </c>
      <c r="E341">
        <v>1</v>
      </c>
      <c r="F341">
        <v>1001</v>
      </c>
      <c r="G341" t="s">
        <v>134</v>
      </c>
      <c r="J341" t="s">
        <v>125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"20:20:59.039"</f>
        <v>20:20:59.039</v>
      </c>
      <c r="T341" t="str">
        <f>"20:20:58.639"</f>
        <v>20:20:58.639</v>
      </c>
      <c r="U341" t="str">
        <f t="shared" si="43"/>
        <v>AA0632</v>
      </c>
      <c r="V341">
        <v>0</v>
      </c>
      <c r="W341">
        <v>0</v>
      </c>
      <c r="X341">
        <v>2</v>
      </c>
      <c r="Y341">
        <v>0</v>
      </c>
      <c r="AA341">
        <v>0</v>
      </c>
      <c r="AB341">
        <v>9</v>
      </c>
      <c r="AC341">
        <v>3</v>
      </c>
      <c r="AD341">
        <v>0</v>
      </c>
      <c r="AE341">
        <v>10</v>
      </c>
      <c r="AF341" t="s">
        <v>126</v>
      </c>
      <c r="AG341">
        <v>0</v>
      </c>
      <c r="AH341">
        <v>0</v>
      </c>
      <c r="AI341">
        <v>2</v>
      </c>
      <c r="AJ341">
        <v>0</v>
      </c>
      <c r="AK341" t="s">
        <v>301</v>
      </c>
      <c r="AL341">
        <v>31.959099999999999</v>
      </c>
      <c r="AM341" t="s">
        <v>302</v>
      </c>
      <c r="AN341">
        <v>-101.125975</v>
      </c>
      <c r="AQ341" t="s">
        <v>129</v>
      </c>
      <c r="AR341">
        <v>79</v>
      </c>
      <c r="AS341">
        <v>-37</v>
      </c>
      <c r="AT341">
        <v>-256</v>
      </c>
      <c r="BB341" t="str">
        <f t="shared" si="44"/>
        <v>1200</v>
      </c>
      <c r="BC341">
        <v>1</v>
      </c>
      <c r="BD341" t="str">
        <f t="shared" si="46"/>
        <v xml:space="preserve">N745MB  </v>
      </c>
      <c r="BE341">
        <v>1</v>
      </c>
      <c r="BG341">
        <v>0</v>
      </c>
      <c r="BH341">
        <v>0</v>
      </c>
      <c r="BI341">
        <v>0</v>
      </c>
      <c r="BL341" t="s">
        <v>130</v>
      </c>
      <c r="BM341">
        <v>1</v>
      </c>
      <c r="BN341">
        <v>0</v>
      </c>
      <c r="BO341">
        <v>0</v>
      </c>
      <c r="BP341">
        <v>0</v>
      </c>
      <c r="BT341">
        <v>0</v>
      </c>
      <c r="BU341">
        <v>0</v>
      </c>
      <c r="CE341" t="str">
        <f>"20:20:59.041"</f>
        <v>20:20:59.041</v>
      </c>
      <c r="CF341">
        <v>40534067</v>
      </c>
      <c r="CS341">
        <v>0</v>
      </c>
      <c r="CT341">
        <v>2</v>
      </c>
      <c r="CU341">
        <v>0</v>
      </c>
      <c r="CV341">
        <v>2</v>
      </c>
      <c r="CW341">
        <v>0</v>
      </c>
      <c r="CX341">
        <v>2</v>
      </c>
      <c r="CY341">
        <v>7</v>
      </c>
      <c r="CZ341" t="s">
        <v>131</v>
      </c>
      <c r="DA341">
        <v>116</v>
      </c>
      <c r="DB341">
        <v>3</v>
      </c>
      <c r="DC341" t="s">
        <v>132</v>
      </c>
      <c r="DD341" t="s">
        <v>133</v>
      </c>
      <c r="DG341">
        <v>8250041</v>
      </c>
      <c r="DI341">
        <v>0</v>
      </c>
      <c r="DJ341">
        <v>0</v>
      </c>
      <c r="DK341">
        <v>1</v>
      </c>
      <c r="DL341">
        <v>0</v>
      </c>
      <c r="DM341">
        <v>0</v>
      </c>
      <c r="DN341">
        <v>0</v>
      </c>
      <c r="DO341">
        <v>0</v>
      </c>
      <c r="DP341">
        <v>1</v>
      </c>
      <c r="DQ341">
        <v>0</v>
      </c>
      <c r="DR341">
        <v>0</v>
      </c>
      <c r="DS341">
        <v>0</v>
      </c>
    </row>
    <row r="342" spans="1:123" x14ac:dyDescent="0.25">
      <c r="A342" t="str">
        <f>"11/29/2023 20:20:59.430"</f>
        <v>11/29/2023 20:20:59.430</v>
      </c>
      <c r="C342" t="str">
        <f t="shared" si="41"/>
        <v>FFDF53C0</v>
      </c>
      <c r="D342" t="s">
        <v>123</v>
      </c>
      <c r="E342">
        <v>14</v>
      </c>
      <c r="F342">
        <v>1014</v>
      </c>
      <c r="G342" t="s">
        <v>124</v>
      </c>
      <c r="J342" t="s">
        <v>125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"20:20:59.039"</f>
        <v>20:20:59.039</v>
      </c>
      <c r="T342" t="str">
        <f>"20:20:58.639"</f>
        <v>20:20:58.639</v>
      </c>
      <c r="U342" t="str">
        <f t="shared" si="43"/>
        <v>AA0632</v>
      </c>
      <c r="V342">
        <v>0</v>
      </c>
      <c r="W342">
        <v>0</v>
      </c>
      <c r="X342">
        <v>2</v>
      </c>
      <c r="Y342">
        <v>0</v>
      </c>
      <c r="AA342">
        <v>0</v>
      </c>
      <c r="AB342">
        <v>9</v>
      </c>
      <c r="AC342">
        <v>3</v>
      </c>
      <c r="AD342">
        <v>0</v>
      </c>
      <c r="AE342">
        <v>10</v>
      </c>
      <c r="AF342" t="s">
        <v>126</v>
      </c>
      <c r="AG342">
        <v>0</v>
      </c>
      <c r="AH342">
        <v>0</v>
      </c>
      <c r="AI342">
        <v>2</v>
      </c>
      <c r="AJ342">
        <v>0</v>
      </c>
      <c r="AK342" t="s">
        <v>301</v>
      </c>
      <c r="AL342">
        <v>31.959099999999999</v>
      </c>
      <c r="AM342" t="s">
        <v>302</v>
      </c>
      <c r="AN342">
        <v>-101.125975</v>
      </c>
      <c r="AQ342" t="s">
        <v>129</v>
      </c>
      <c r="AR342">
        <v>79</v>
      </c>
      <c r="AS342">
        <v>-37</v>
      </c>
      <c r="AT342">
        <v>-256</v>
      </c>
      <c r="BB342" t="str">
        <f t="shared" si="44"/>
        <v>1200</v>
      </c>
      <c r="BC342">
        <v>1</v>
      </c>
      <c r="BD342" t="str">
        <f t="shared" si="46"/>
        <v xml:space="preserve">N745MB  </v>
      </c>
      <c r="BE342">
        <v>1</v>
      </c>
      <c r="BG342">
        <v>0</v>
      </c>
      <c r="BH342">
        <v>0</v>
      </c>
      <c r="BI342">
        <v>0</v>
      </c>
      <c r="BL342" t="s">
        <v>130</v>
      </c>
      <c r="BM342">
        <v>1</v>
      </c>
      <c r="BN342">
        <v>0</v>
      </c>
      <c r="BO342">
        <v>0</v>
      </c>
      <c r="BP342">
        <v>0</v>
      </c>
      <c r="BT342">
        <v>0</v>
      </c>
      <c r="BU342">
        <v>0</v>
      </c>
      <c r="CE342" t="str">
        <f>"20:20:59.041"</f>
        <v>20:20:59.041</v>
      </c>
      <c r="CF342">
        <v>40534067</v>
      </c>
      <c r="CS342">
        <v>0</v>
      </c>
      <c r="CT342">
        <v>2</v>
      </c>
      <c r="CU342">
        <v>0</v>
      </c>
      <c r="CV342">
        <v>2</v>
      </c>
      <c r="CW342">
        <v>0</v>
      </c>
      <c r="CX342">
        <v>2</v>
      </c>
      <c r="CY342">
        <v>7</v>
      </c>
      <c r="CZ342" t="s">
        <v>131</v>
      </c>
      <c r="DA342">
        <v>116</v>
      </c>
      <c r="DB342">
        <v>3</v>
      </c>
      <c r="DC342" t="s">
        <v>132</v>
      </c>
      <c r="DD342" t="s">
        <v>133</v>
      </c>
      <c r="DG342">
        <v>8250041</v>
      </c>
      <c r="DI342">
        <v>0</v>
      </c>
      <c r="DJ342">
        <v>0</v>
      </c>
      <c r="DK342">
        <v>1</v>
      </c>
      <c r="DL342">
        <v>0</v>
      </c>
      <c r="DM342">
        <v>0</v>
      </c>
      <c r="DN342">
        <v>0</v>
      </c>
      <c r="DO342">
        <v>0</v>
      </c>
      <c r="DP342">
        <v>1</v>
      </c>
      <c r="DQ342">
        <v>0</v>
      </c>
      <c r="DR342">
        <v>0</v>
      </c>
      <c r="DS342">
        <v>0</v>
      </c>
    </row>
    <row r="343" spans="1:123" x14ac:dyDescent="0.25">
      <c r="A343" t="str">
        <f>"11/29/2023 20:21:00.320"</f>
        <v>11/29/2023 20:21:00.320</v>
      </c>
      <c r="C343" t="str">
        <f t="shared" si="41"/>
        <v>FFDF53C0</v>
      </c>
      <c r="D343" t="s">
        <v>123</v>
      </c>
      <c r="E343">
        <v>14</v>
      </c>
      <c r="F343">
        <v>1014</v>
      </c>
      <c r="G343" t="s">
        <v>124</v>
      </c>
      <c r="J343" t="s">
        <v>125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 t="shared" ref="S343:T346" si="47">"20:21:00.016"</f>
        <v>20:21:00.016</v>
      </c>
      <c r="T343" t="str">
        <f t="shared" si="47"/>
        <v>20:21:00.016</v>
      </c>
      <c r="U343" t="str">
        <f t="shared" si="43"/>
        <v>AA0632</v>
      </c>
      <c r="V343">
        <v>0</v>
      </c>
      <c r="W343">
        <v>0</v>
      </c>
      <c r="X343">
        <v>2</v>
      </c>
      <c r="Y343">
        <v>0</v>
      </c>
      <c r="AA343">
        <v>0</v>
      </c>
      <c r="AB343">
        <v>9</v>
      </c>
      <c r="AC343">
        <v>3</v>
      </c>
      <c r="AD343">
        <v>0</v>
      </c>
      <c r="AE343">
        <v>10</v>
      </c>
      <c r="AF343" t="s">
        <v>126</v>
      </c>
      <c r="AG343">
        <v>0</v>
      </c>
      <c r="AH343">
        <v>0</v>
      </c>
      <c r="AI343">
        <v>2</v>
      </c>
      <c r="AJ343">
        <v>0</v>
      </c>
      <c r="AK343" t="s">
        <v>303</v>
      </c>
      <c r="AL343">
        <v>31.958907</v>
      </c>
      <c r="AM343" t="s">
        <v>304</v>
      </c>
      <c r="AN343">
        <v>-101.125524</v>
      </c>
      <c r="AQ343" t="s">
        <v>129</v>
      </c>
      <c r="AR343">
        <v>78</v>
      </c>
      <c r="AS343">
        <v>-38</v>
      </c>
      <c r="AT343">
        <v>-320</v>
      </c>
      <c r="BB343" t="str">
        <f t="shared" si="44"/>
        <v>1200</v>
      </c>
      <c r="BC343">
        <v>1</v>
      </c>
      <c r="BD343" t="str">
        <f t="shared" si="46"/>
        <v xml:space="preserve">N745MB  </v>
      </c>
      <c r="BE343">
        <v>1</v>
      </c>
      <c r="BG343">
        <v>0</v>
      </c>
      <c r="BH343">
        <v>0</v>
      </c>
      <c r="BI343">
        <v>0</v>
      </c>
      <c r="BL343" t="s">
        <v>130</v>
      </c>
      <c r="BM343">
        <v>1</v>
      </c>
      <c r="BN343">
        <v>0</v>
      </c>
      <c r="BO343">
        <v>0</v>
      </c>
      <c r="BP343">
        <v>0</v>
      </c>
      <c r="BT343">
        <v>0</v>
      </c>
      <c r="BU343">
        <v>0</v>
      </c>
      <c r="CE343" t="str">
        <f>"20:21:00.018"</f>
        <v>20:21:00.018</v>
      </c>
      <c r="CF343">
        <v>18467302</v>
      </c>
      <c r="CS343">
        <v>0</v>
      </c>
      <c r="CT343">
        <v>2</v>
      </c>
      <c r="CU343">
        <v>0</v>
      </c>
      <c r="CV343">
        <v>2</v>
      </c>
      <c r="CW343">
        <v>0</v>
      </c>
      <c r="CX343">
        <v>2</v>
      </c>
      <c r="CY343">
        <v>7</v>
      </c>
      <c r="CZ343" t="s">
        <v>131</v>
      </c>
      <c r="DA343">
        <v>116</v>
      </c>
      <c r="DB343">
        <v>3</v>
      </c>
      <c r="DC343" t="s">
        <v>132</v>
      </c>
      <c r="DD343" t="s">
        <v>133</v>
      </c>
      <c r="DG343">
        <v>8250577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1</v>
      </c>
      <c r="DQ343">
        <v>0</v>
      </c>
      <c r="DR343">
        <v>0</v>
      </c>
      <c r="DS343">
        <v>0</v>
      </c>
    </row>
    <row r="344" spans="1:123" x14ac:dyDescent="0.25">
      <c r="A344" t="str">
        <f>"11/29/2023 20:21:00.320"</f>
        <v>11/29/2023 20:21:00.320</v>
      </c>
      <c r="C344" t="str">
        <f t="shared" si="41"/>
        <v>FFDF53C0</v>
      </c>
      <c r="D344" t="s">
        <v>135</v>
      </c>
      <c r="E344">
        <v>31</v>
      </c>
      <c r="H344">
        <v>285</v>
      </c>
      <c r="I344" t="s">
        <v>136</v>
      </c>
      <c r="J344" t="s">
        <v>137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 t="shared" si="47"/>
        <v>20:21:00.016</v>
      </c>
      <c r="T344" t="str">
        <f t="shared" si="47"/>
        <v>20:21:00.016</v>
      </c>
      <c r="U344" t="str">
        <f t="shared" si="43"/>
        <v>AA0632</v>
      </c>
      <c r="V344">
        <v>0</v>
      </c>
      <c r="W344">
        <v>0</v>
      </c>
      <c r="X344">
        <v>2</v>
      </c>
      <c r="Y344">
        <v>0</v>
      </c>
      <c r="AA344">
        <v>0</v>
      </c>
      <c r="AB344">
        <v>9</v>
      </c>
      <c r="AC344">
        <v>3</v>
      </c>
      <c r="AD344">
        <v>0</v>
      </c>
      <c r="AE344">
        <v>10</v>
      </c>
      <c r="AF344" t="s">
        <v>126</v>
      </c>
      <c r="AG344">
        <v>0</v>
      </c>
      <c r="AH344">
        <v>0</v>
      </c>
      <c r="AI344">
        <v>2</v>
      </c>
      <c r="AJ344">
        <v>0</v>
      </c>
      <c r="AK344" t="s">
        <v>303</v>
      </c>
      <c r="AL344">
        <v>31.958907</v>
      </c>
      <c r="AM344" t="s">
        <v>304</v>
      </c>
      <c r="AN344">
        <v>-101.125524</v>
      </c>
      <c r="AQ344" t="s">
        <v>129</v>
      </c>
      <c r="AR344">
        <v>78</v>
      </c>
      <c r="AS344">
        <v>-38</v>
      </c>
      <c r="AT344">
        <v>-320</v>
      </c>
      <c r="BB344" t="str">
        <f t="shared" si="44"/>
        <v>1200</v>
      </c>
      <c r="BC344">
        <v>1</v>
      </c>
      <c r="BD344" t="str">
        <f t="shared" si="46"/>
        <v xml:space="preserve">N745MB  </v>
      </c>
      <c r="BE344">
        <v>1</v>
      </c>
      <c r="BG344">
        <v>0</v>
      </c>
      <c r="BH344">
        <v>0</v>
      </c>
      <c r="BI344">
        <v>0</v>
      </c>
      <c r="BL344" t="s">
        <v>130</v>
      </c>
      <c r="BM344">
        <v>1</v>
      </c>
      <c r="BN344">
        <v>0</v>
      </c>
      <c r="BO344">
        <v>0</v>
      </c>
      <c r="BP344">
        <v>0</v>
      </c>
      <c r="BT344">
        <v>0</v>
      </c>
      <c r="BU344">
        <v>0</v>
      </c>
      <c r="CE344" t="str">
        <f>"20:21:00.018"</f>
        <v>20:21:00.018</v>
      </c>
      <c r="CF344">
        <v>18467302</v>
      </c>
      <c r="CS344">
        <v>0</v>
      </c>
      <c r="CT344">
        <v>2</v>
      </c>
      <c r="CU344">
        <v>0</v>
      </c>
      <c r="CV344">
        <v>2</v>
      </c>
      <c r="CW344">
        <v>0</v>
      </c>
      <c r="CX344">
        <v>2</v>
      </c>
      <c r="CY344">
        <v>7</v>
      </c>
      <c r="CZ344" t="s">
        <v>131</v>
      </c>
      <c r="DA344">
        <v>116</v>
      </c>
      <c r="DB344">
        <v>3</v>
      </c>
      <c r="DC344" t="s">
        <v>132</v>
      </c>
      <c r="DD344" t="s">
        <v>133</v>
      </c>
      <c r="DG344">
        <v>8250577</v>
      </c>
      <c r="DI344">
        <v>0</v>
      </c>
      <c r="DJ344">
        <v>0</v>
      </c>
      <c r="DK344">
        <v>1</v>
      </c>
      <c r="DL344">
        <v>0</v>
      </c>
      <c r="DM344">
        <v>0</v>
      </c>
      <c r="DN344">
        <v>0</v>
      </c>
      <c r="DO344">
        <v>0</v>
      </c>
      <c r="DP344">
        <v>1</v>
      </c>
      <c r="DQ344">
        <v>0</v>
      </c>
      <c r="DR344">
        <v>0</v>
      </c>
      <c r="DS344">
        <v>0</v>
      </c>
    </row>
    <row r="345" spans="1:123" x14ac:dyDescent="0.25">
      <c r="A345" t="str">
        <f>"11/29/2023 20:21:00.320"</f>
        <v>11/29/2023 20:21:00.320</v>
      </c>
      <c r="C345" t="str">
        <f t="shared" si="41"/>
        <v>FFDF53C0</v>
      </c>
      <c r="D345" t="s">
        <v>138</v>
      </c>
      <c r="E345">
        <v>3</v>
      </c>
      <c r="H345">
        <v>160</v>
      </c>
      <c r="I345" t="s">
        <v>124</v>
      </c>
      <c r="J345" t="s">
        <v>139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 t="shared" si="47"/>
        <v>20:21:00.016</v>
      </c>
      <c r="T345" t="str">
        <f t="shared" si="47"/>
        <v>20:21:00.016</v>
      </c>
      <c r="U345" t="str">
        <f t="shared" si="43"/>
        <v>AA0632</v>
      </c>
      <c r="V345">
        <v>0</v>
      </c>
      <c r="W345">
        <v>0</v>
      </c>
      <c r="X345">
        <v>2</v>
      </c>
      <c r="Y345">
        <v>0</v>
      </c>
      <c r="AA345">
        <v>0</v>
      </c>
      <c r="AB345">
        <v>9</v>
      </c>
      <c r="AC345">
        <v>3</v>
      </c>
      <c r="AD345">
        <v>0</v>
      </c>
      <c r="AE345">
        <v>10</v>
      </c>
      <c r="AF345" t="s">
        <v>126</v>
      </c>
      <c r="AG345">
        <v>0</v>
      </c>
      <c r="AH345">
        <v>0</v>
      </c>
      <c r="AI345">
        <v>2</v>
      </c>
      <c r="AJ345">
        <v>0</v>
      </c>
      <c r="AK345" t="s">
        <v>303</v>
      </c>
      <c r="AL345">
        <v>31.958907</v>
      </c>
      <c r="AM345" t="s">
        <v>304</v>
      </c>
      <c r="AN345">
        <v>-101.125524</v>
      </c>
      <c r="AQ345" t="s">
        <v>129</v>
      </c>
      <c r="AR345">
        <v>78</v>
      </c>
      <c r="AS345">
        <v>-38</v>
      </c>
      <c r="AT345">
        <v>-320</v>
      </c>
      <c r="BB345" t="str">
        <f t="shared" si="44"/>
        <v>1200</v>
      </c>
      <c r="BC345">
        <v>1</v>
      </c>
      <c r="BD345" t="str">
        <f t="shared" si="46"/>
        <v xml:space="preserve">N745MB  </v>
      </c>
      <c r="BE345">
        <v>1</v>
      </c>
      <c r="BG345">
        <v>0</v>
      </c>
      <c r="BH345">
        <v>0</v>
      </c>
      <c r="BI345">
        <v>0</v>
      </c>
      <c r="BL345" t="s">
        <v>130</v>
      </c>
      <c r="BM345">
        <v>1</v>
      </c>
      <c r="BN345">
        <v>0</v>
      </c>
      <c r="BO345">
        <v>0</v>
      </c>
      <c r="BP345">
        <v>0</v>
      </c>
      <c r="BT345">
        <v>0</v>
      </c>
      <c r="BU345">
        <v>0</v>
      </c>
      <c r="CE345" t="str">
        <f>"20:21:00.018"</f>
        <v>20:21:00.018</v>
      </c>
      <c r="CF345">
        <v>18467302</v>
      </c>
      <c r="CS345">
        <v>0</v>
      </c>
      <c r="CT345">
        <v>2</v>
      </c>
      <c r="CU345">
        <v>0</v>
      </c>
      <c r="CV345">
        <v>2</v>
      </c>
      <c r="CW345">
        <v>0</v>
      </c>
      <c r="CX345">
        <v>2</v>
      </c>
      <c r="CY345">
        <v>7</v>
      </c>
      <c r="CZ345" t="s">
        <v>131</v>
      </c>
      <c r="DA345">
        <v>116</v>
      </c>
      <c r="DB345">
        <v>3</v>
      </c>
      <c r="DC345" t="s">
        <v>132</v>
      </c>
      <c r="DD345" t="s">
        <v>133</v>
      </c>
      <c r="DG345">
        <v>8250577</v>
      </c>
      <c r="DI345">
        <v>0</v>
      </c>
      <c r="DJ345">
        <v>0</v>
      </c>
      <c r="DK345">
        <v>1</v>
      </c>
      <c r="DL345">
        <v>0</v>
      </c>
      <c r="DM345">
        <v>0</v>
      </c>
      <c r="DN345">
        <v>0</v>
      </c>
      <c r="DO345">
        <v>0</v>
      </c>
      <c r="DP345">
        <v>1</v>
      </c>
      <c r="DQ345">
        <v>0</v>
      </c>
      <c r="DR345">
        <v>0</v>
      </c>
      <c r="DS345">
        <v>0</v>
      </c>
    </row>
    <row r="346" spans="1:123" x14ac:dyDescent="0.25">
      <c r="A346" t="str">
        <f>"11/29/2023 20:21:00.320"</f>
        <v>11/29/2023 20:21:00.320</v>
      </c>
      <c r="C346" t="str">
        <f t="shared" si="41"/>
        <v>FFDF53C0</v>
      </c>
      <c r="D346" t="s">
        <v>123</v>
      </c>
      <c r="E346">
        <v>1</v>
      </c>
      <c r="F346">
        <v>1001</v>
      </c>
      <c r="G346" t="s">
        <v>134</v>
      </c>
      <c r="J346" t="s">
        <v>125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 t="shared" si="47"/>
        <v>20:21:00.016</v>
      </c>
      <c r="T346" t="str">
        <f t="shared" si="47"/>
        <v>20:21:00.016</v>
      </c>
      <c r="U346" t="str">
        <f t="shared" si="43"/>
        <v>AA0632</v>
      </c>
      <c r="V346">
        <v>0</v>
      </c>
      <c r="W346">
        <v>0</v>
      </c>
      <c r="X346">
        <v>2</v>
      </c>
      <c r="Y346">
        <v>0</v>
      </c>
      <c r="AA346">
        <v>0</v>
      </c>
      <c r="AB346">
        <v>9</v>
      </c>
      <c r="AC346">
        <v>3</v>
      </c>
      <c r="AD346">
        <v>0</v>
      </c>
      <c r="AE346">
        <v>10</v>
      </c>
      <c r="AF346" t="s">
        <v>126</v>
      </c>
      <c r="AG346">
        <v>0</v>
      </c>
      <c r="AH346">
        <v>0</v>
      </c>
      <c r="AI346">
        <v>2</v>
      </c>
      <c r="AJ346">
        <v>0</v>
      </c>
      <c r="AK346" t="s">
        <v>303</v>
      </c>
      <c r="AL346">
        <v>31.958907</v>
      </c>
      <c r="AM346" t="s">
        <v>304</v>
      </c>
      <c r="AN346">
        <v>-101.125524</v>
      </c>
      <c r="AQ346" t="s">
        <v>129</v>
      </c>
      <c r="AR346">
        <v>78</v>
      </c>
      <c r="AS346">
        <v>-38</v>
      </c>
      <c r="AT346">
        <v>-320</v>
      </c>
      <c r="BB346" t="str">
        <f t="shared" si="44"/>
        <v>1200</v>
      </c>
      <c r="BC346">
        <v>1</v>
      </c>
      <c r="BD346" t="str">
        <f t="shared" si="46"/>
        <v xml:space="preserve">N745MB  </v>
      </c>
      <c r="BE346">
        <v>1</v>
      </c>
      <c r="BG346">
        <v>0</v>
      </c>
      <c r="BH346">
        <v>0</v>
      </c>
      <c r="BI346">
        <v>0</v>
      </c>
      <c r="BL346" t="s">
        <v>130</v>
      </c>
      <c r="BM346">
        <v>1</v>
      </c>
      <c r="BN346">
        <v>0</v>
      </c>
      <c r="BO346">
        <v>0</v>
      </c>
      <c r="BP346">
        <v>0</v>
      </c>
      <c r="BT346">
        <v>0</v>
      </c>
      <c r="BU346">
        <v>0</v>
      </c>
      <c r="CE346" t="str">
        <f>"20:21:00.018"</f>
        <v>20:21:00.018</v>
      </c>
      <c r="CF346">
        <v>18467302</v>
      </c>
      <c r="CS346">
        <v>0</v>
      </c>
      <c r="CT346">
        <v>2</v>
      </c>
      <c r="CU346">
        <v>0</v>
      </c>
      <c r="CV346">
        <v>2</v>
      </c>
      <c r="CW346">
        <v>0</v>
      </c>
      <c r="CX346">
        <v>2</v>
      </c>
      <c r="CY346">
        <v>7</v>
      </c>
      <c r="CZ346" t="s">
        <v>131</v>
      </c>
      <c r="DA346">
        <v>116</v>
      </c>
      <c r="DB346">
        <v>3</v>
      </c>
      <c r="DC346" t="s">
        <v>132</v>
      </c>
      <c r="DD346" t="s">
        <v>133</v>
      </c>
      <c r="DG346">
        <v>8250577</v>
      </c>
      <c r="DI346">
        <v>0</v>
      </c>
      <c r="DJ346">
        <v>0</v>
      </c>
      <c r="DK346">
        <v>1</v>
      </c>
      <c r="DL346">
        <v>0</v>
      </c>
      <c r="DM346">
        <v>0</v>
      </c>
      <c r="DN346">
        <v>0</v>
      </c>
      <c r="DO346">
        <v>0</v>
      </c>
      <c r="DP346">
        <v>1</v>
      </c>
      <c r="DQ346">
        <v>0</v>
      </c>
      <c r="DR346">
        <v>0</v>
      </c>
      <c r="DS346">
        <v>0</v>
      </c>
    </row>
    <row r="347" spans="1:123" x14ac:dyDescent="0.25">
      <c r="A347" t="str">
        <f>"11/29/2023 20:21:01.461"</f>
        <v>11/29/2023 20:21:01.461</v>
      </c>
      <c r="C347" t="str">
        <f t="shared" si="41"/>
        <v>FFDF53C0</v>
      </c>
      <c r="D347" t="s">
        <v>123</v>
      </c>
      <c r="E347">
        <v>14</v>
      </c>
      <c r="F347">
        <v>1014</v>
      </c>
      <c r="G347" t="s">
        <v>124</v>
      </c>
      <c r="J347" t="s">
        <v>125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 t="shared" ref="S347:T350" si="48">"20:21:00.984"</f>
        <v>20:21:00.984</v>
      </c>
      <c r="T347" t="str">
        <f t="shared" si="48"/>
        <v>20:21:00.984</v>
      </c>
      <c r="U347" t="str">
        <f t="shared" si="43"/>
        <v>AA0632</v>
      </c>
      <c r="V347">
        <v>0</v>
      </c>
      <c r="W347">
        <v>0</v>
      </c>
      <c r="X347">
        <v>2</v>
      </c>
      <c r="Y347">
        <v>0</v>
      </c>
      <c r="AA347">
        <v>0</v>
      </c>
      <c r="AB347">
        <v>9</v>
      </c>
      <c r="AC347">
        <v>3</v>
      </c>
      <c r="AD347">
        <v>0</v>
      </c>
      <c r="AE347">
        <v>10</v>
      </c>
      <c r="AF347" t="s">
        <v>126</v>
      </c>
      <c r="AG347">
        <v>0</v>
      </c>
      <c r="AH347">
        <v>0</v>
      </c>
      <c r="AI347">
        <v>2</v>
      </c>
      <c r="AJ347">
        <v>0</v>
      </c>
      <c r="AK347" t="s">
        <v>305</v>
      </c>
      <c r="AL347">
        <v>31.958714000000001</v>
      </c>
      <c r="AM347" t="s">
        <v>306</v>
      </c>
      <c r="AN347">
        <v>-101.12511600000001</v>
      </c>
      <c r="AQ347" t="s">
        <v>129</v>
      </c>
      <c r="AR347">
        <v>77</v>
      </c>
      <c r="AS347">
        <v>-40</v>
      </c>
      <c r="AT347">
        <v>-384</v>
      </c>
      <c r="BB347" t="str">
        <f t="shared" si="44"/>
        <v>1200</v>
      </c>
      <c r="BC347">
        <v>1</v>
      </c>
      <c r="BD347" t="str">
        <f t="shared" si="46"/>
        <v xml:space="preserve">N745MB  </v>
      </c>
      <c r="BE347">
        <v>1</v>
      </c>
      <c r="BG347">
        <v>0</v>
      </c>
      <c r="BH347">
        <v>0</v>
      </c>
      <c r="BI347">
        <v>0</v>
      </c>
      <c r="BL347" t="s">
        <v>130</v>
      </c>
      <c r="BM347">
        <v>1</v>
      </c>
      <c r="BN347">
        <v>0</v>
      </c>
      <c r="BO347">
        <v>0</v>
      </c>
      <c r="BP347">
        <v>0</v>
      </c>
      <c r="BT347">
        <v>0</v>
      </c>
      <c r="BU347">
        <v>0</v>
      </c>
      <c r="CE347" t="str">
        <f>"20:21:00.990"</f>
        <v>20:21:00.990</v>
      </c>
      <c r="CF347">
        <v>990400790</v>
      </c>
      <c r="CS347">
        <v>0</v>
      </c>
      <c r="CT347">
        <v>2</v>
      </c>
      <c r="CU347">
        <v>0</v>
      </c>
      <c r="CV347">
        <v>2</v>
      </c>
      <c r="CW347">
        <v>0</v>
      </c>
      <c r="CX347">
        <v>3</v>
      </c>
      <c r="CY347">
        <v>7</v>
      </c>
      <c r="CZ347" t="s">
        <v>131</v>
      </c>
      <c r="DA347">
        <v>116</v>
      </c>
      <c r="DB347">
        <v>3</v>
      </c>
      <c r="DC347" t="s">
        <v>132</v>
      </c>
      <c r="DD347" t="s">
        <v>133</v>
      </c>
      <c r="DG347">
        <v>8251125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1</v>
      </c>
      <c r="DQ347">
        <v>0</v>
      </c>
      <c r="DR347">
        <v>0</v>
      </c>
      <c r="DS347">
        <v>0</v>
      </c>
    </row>
    <row r="348" spans="1:123" x14ac:dyDescent="0.25">
      <c r="A348" t="str">
        <f>"11/29/2023 20:21:01.461"</f>
        <v>11/29/2023 20:21:01.461</v>
      </c>
      <c r="C348" t="str">
        <f t="shared" si="41"/>
        <v>FFDF53C0</v>
      </c>
      <c r="D348" t="s">
        <v>135</v>
      </c>
      <c r="E348">
        <v>31</v>
      </c>
      <c r="H348">
        <v>285</v>
      </c>
      <c r="I348" t="s">
        <v>136</v>
      </c>
      <c r="J348" t="s">
        <v>137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 t="shared" si="48"/>
        <v>20:21:00.984</v>
      </c>
      <c r="T348" t="str">
        <f t="shared" si="48"/>
        <v>20:21:00.984</v>
      </c>
      <c r="U348" t="str">
        <f t="shared" si="43"/>
        <v>AA0632</v>
      </c>
      <c r="V348">
        <v>0</v>
      </c>
      <c r="W348">
        <v>0</v>
      </c>
      <c r="X348">
        <v>2</v>
      </c>
      <c r="Y348">
        <v>0</v>
      </c>
      <c r="AA348">
        <v>0</v>
      </c>
      <c r="AB348">
        <v>9</v>
      </c>
      <c r="AC348">
        <v>3</v>
      </c>
      <c r="AD348">
        <v>0</v>
      </c>
      <c r="AE348">
        <v>10</v>
      </c>
      <c r="AF348" t="s">
        <v>126</v>
      </c>
      <c r="AG348">
        <v>0</v>
      </c>
      <c r="AH348">
        <v>0</v>
      </c>
      <c r="AI348">
        <v>2</v>
      </c>
      <c r="AJ348">
        <v>0</v>
      </c>
      <c r="AK348" t="s">
        <v>305</v>
      </c>
      <c r="AL348">
        <v>31.958714000000001</v>
      </c>
      <c r="AM348" t="s">
        <v>306</v>
      </c>
      <c r="AN348">
        <v>-101.12511600000001</v>
      </c>
      <c r="AQ348" t="s">
        <v>129</v>
      </c>
      <c r="AR348">
        <v>77</v>
      </c>
      <c r="AS348">
        <v>-40</v>
      </c>
      <c r="AT348">
        <v>-384</v>
      </c>
      <c r="BB348" t="str">
        <f t="shared" si="44"/>
        <v>1200</v>
      </c>
      <c r="BC348">
        <v>1</v>
      </c>
      <c r="BD348" t="str">
        <f t="shared" si="46"/>
        <v xml:space="preserve">N745MB  </v>
      </c>
      <c r="BE348">
        <v>1</v>
      </c>
      <c r="BG348">
        <v>0</v>
      </c>
      <c r="BH348">
        <v>0</v>
      </c>
      <c r="BI348">
        <v>0</v>
      </c>
      <c r="BL348" t="s">
        <v>130</v>
      </c>
      <c r="BM348">
        <v>1</v>
      </c>
      <c r="BN348">
        <v>0</v>
      </c>
      <c r="BO348">
        <v>0</v>
      </c>
      <c r="BP348">
        <v>0</v>
      </c>
      <c r="BT348">
        <v>0</v>
      </c>
      <c r="BU348">
        <v>0</v>
      </c>
      <c r="CE348" t="str">
        <f>"20:21:00.990"</f>
        <v>20:21:00.990</v>
      </c>
      <c r="CF348">
        <v>990400790</v>
      </c>
      <c r="CS348">
        <v>0</v>
      </c>
      <c r="CT348">
        <v>2</v>
      </c>
      <c r="CU348">
        <v>0</v>
      </c>
      <c r="CV348">
        <v>2</v>
      </c>
      <c r="CW348">
        <v>0</v>
      </c>
      <c r="CX348">
        <v>3</v>
      </c>
      <c r="CY348">
        <v>7</v>
      </c>
      <c r="CZ348" t="s">
        <v>131</v>
      </c>
      <c r="DA348">
        <v>116</v>
      </c>
      <c r="DB348">
        <v>3</v>
      </c>
      <c r="DC348" t="s">
        <v>132</v>
      </c>
      <c r="DD348" t="s">
        <v>133</v>
      </c>
      <c r="DG348">
        <v>8251125</v>
      </c>
      <c r="DI348">
        <v>0</v>
      </c>
      <c r="DJ348">
        <v>0</v>
      </c>
      <c r="DK348">
        <v>1</v>
      </c>
      <c r="DL348">
        <v>0</v>
      </c>
      <c r="DM348">
        <v>0</v>
      </c>
      <c r="DN348">
        <v>0</v>
      </c>
      <c r="DO348">
        <v>0</v>
      </c>
      <c r="DP348">
        <v>1</v>
      </c>
      <c r="DQ348">
        <v>0</v>
      </c>
      <c r="DR348">
        <v>0</v>
      </c>
      <c r="DS348">
        <v>0</v>
      </c>
    </row>
    <row r="349" spans="1:123" x14ac:dyDescent="0.25">
      <c r="A349" t="str">
        <f>"11/29/2023 20:21:01.461"</f>
        <v>11/29/2023 20:21:01.461</v>
      </c>
      <c r="C349" t="str">
        <f t="shared" si="41"/>
        <v>FFDF53C0</v>
      </c>
      <c r="D349" t="s">
        <v>138</v>
      </c>
      <c r="E349">
        <v>3</v>
      </c>
      <c r="H349">
        <v>160</v>
      </c>
      <c r="I349" t="s">
        <v>124</v>
      </c>
      <c r="J349" t="s">
        <v>139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 t="shared" si="48"/>
        <v>20:21:00.984</v>
      </c>
      <c r="T349" t="str">
        <f t="shared" si="48"/>
        <v>20:21:00.984</v>
      </c>
      <c r="U349" t="str">
        <f t="shared" si="43"/>
        <v>AA0632</v>
      </c>
      <c r="V349">
        <v>0</v>
      </c>
      <c r="W349">
        <v>0</v>
      </c>
      <c r="X349">
        <v>2</v>
      </c>
      <c r="Y349">
        <v>0</v>
      </c>
      <c r="AA349">
        <v>0</v>
      </c>
      <c r="AB349">
        <v>9</v>
      </c>
      <c r="AC349">
        <v>3</v>
      </c>
      <c r="AD349">
        <v>0</v>
      </c>
      <c r="AE349">
        <v>10</v>
      </c>
      <c r="AF349" t="s">
        <v>126</v>
      </c>
      <c r="AG349">
        <v>0</v>
      </c>
      <c r="AH349">
        <v>0</v>
      </c>
      <c r="AI349">
        <v>2</v>
      </c>
      <c r="AJ349">
        <v>0</v>
      </c>
      <c r="AK349" t="s">
        <v>305</v>
      </c>
      <c r="AL349">
        <v>31.958714000000001</v>
      </c>
      <c r="AM349" t="s">
        <v>306</v>
      </c>
      <c r="AN349">
        <v>-101.12511600000001</v>
      </c>
      <c r="AQ349" t="s">
        <v>129</v>
      </c>
      <c r="AR349">
        <v>77</v>
      </c>
      <c r="AS349">
        <v>-40</v>
      </c>
      <c r="AT349">
        <v>-384</v>
      </c>
      <c r="BB349" t="str">
        <f t="shared" si="44"/>
        <v>1200</v>
      </c>
      <c r="BC349">
        <v>1</v>
      </c>
      <c r="BD349" t="str">
        <f t="shared" si="46"/>
        <v xml:space="preserve">N745MB  </v>
      </c>
      <c r="BE349">
        <v>1</v>
      </c>
      <c r="BG349">
        <v>0</v>
      </c>
      <c r="BH349">
        <v>0</v>
      </c>
      <c r="BI349">
        <v>0</v>
      </c>
      <c r="BL349" t="s">
        <v>130</v>
      </c>
      <c r="BM349">
        <v>1</v>
      </c>
      <c r="BN349">
        <v>0</v>
      </c>
      <c r="BO349">
        <v>0</v>
      </c>
      <c r="BP349">
        <v>0</v>
      </c>
      <c r="BT349">
        <v>0</v>
      </c>
      <c r="BU349">
        <v>0</v>
      </c>
      <c r="CE349" t="str">
        <f>"20:21:00.990"</f>
        <v>20:21:00.990</v>
      </c>
      <c r="CF349">
        <v>990400790</v>
      </c>
      <c r="CS349">
        <v>0</v>
      </c>
      <c r="CT349">
        <v>2</v>
      </c>
      <c r="CU349">
        <v>0</v>
      </c>
      <c r="CV349">
        <v>2</v>
      </c>
      <c r="CW349">
        <v>0</v>
      </c>
      <c r="CX349">
        <v>3</v>
      </c>
      <c r="CY349">
        <v>7</v>
      </c>
      <c r="CZ349" t="s">
        <v>131</v>
      </c>
      <c r="DA349">
        <v>116</v>
      </c>
      <c r="DB349">
        <v>3</v>
      </c>
      <c r="DC349" t="s">
        <v>132</v>
      </c>
      <c r="DD349" t="s">
        <v>133</v>
      </c>
      <c r="DG349">
        <v>8251125</v>
      </c>
      <c r="DI349">
        <v>0</v>
      </c>
      <c r="DJ349">
        <v>0</v>
      </c>
      <c r="DK349">
        <v>1</v>
      </c>
      <c r="DL349">
        <v>0</v>
      </c>
      <c r="DM349">
        <v>0</v>
      </c>
      <c r="DN349">
        <v>0</v>
      </c>
      <c r="DO349">
        <v>0</v>
      </c>
      <c r="DP349">
        <v>1</v>
      </c>
      <c r="DQ349">
        <v>0</v>
      </c>
      <c r="DR349">
        <v>0</v>
      </c>
      <c r="DS349">
        <v>0</v>
      </c>
    </row>
    <row r="350" spans="1:123" x14ac:dyDescent="0.25">
      <c r="A350" t="str">
        <f>"11/29/2023 20:21:01.461"</f>
        <v>11/29/2023 20:21:01.461</v>
      </c>
      <c r="C350" t="str">
        <f t="shared" si="41"/>
        <v>FFDF53C0</v>
      </c>
      <c r="D350" t="s">
        <v>123</v>
      </c>
      <c r="E350">
        <v>1</v>
      </c>
      <c r="F350">
        <v>1001</v>
      </c>
      <c r="G350" t="s">
        <v>134</v>
      </c>
      <c r="J350" t="s">
        <v>125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 t="shared" si="48"/>
        <v>20:21:00.984</v>
      </c>
      <c r="T350" t="str">
        <f t="shared" si="48"/>
        <v>20:21:00.984</v>
      </c>
      <c r="U350" t="str">
        <f t="shared" si="43"/>
        <v>AA0632</v>
      </c>
      <c r="V350">
        <v>0</v>
      </c>
      <c r="W350">
        <v>0</v>
      </c>
      <c r="X350">
        <v>2</v>
      </c>
      <c r="Y350">
        <v>0</v>
      </c>
      <c r="AA350">
        <v>0</v>
      </c>
      <c r="AB350">
        <v>9</v>
      </c>
      <c r="AC350">
        <v>3</v>
      </c>
      <c r="AD350">
        <v>0</v>
      </c>
      <c r="AE350">
        <v>10</v>
      </c>
      <c r="AF350" t="s">
        <v>126</v>
      </c>
      <c r="AG350">
        <v>0</v>
      </c>
      <c r="AH350">
        <v>0</v>
      </c>
      <c r="AI350">
        <v>2</v>
      </c>
      <c r="AJ350">
        <v>0</v>
      </c>
      <c r="AK350" t="s">
        <v>305</v>
      </c>
      <c r="AL350">
        <v>31.958714000000001</v>
      </c>
      <c r="AM350" t="s">
        <v>306</v>
      </c>
      <c r="AN350">
        <v>-101.12511600000001</v>
      </c>
      <c r="AQ350" t="s">
        <v>129</v>
      </c>
      <c r="AR350">
        <v>77</v>
      </c>
      <c r="AS350">
        <v>-40</v>
      </c>
      <c r="AT350">
        <v>-384</v>
      </c>
      <c r="BB350" t="str">
        <f t="shared" si="44"/>
        <v>1200</v>
      </c>
      <c r="BC350">
        <v>1</v>
      </c>
      <c r="BD350" t="str">
        <f t="shared" si="46"/>
        <v xml:space="preserve">N745MB  </v>
      </c>
      <c r="BE350">
        <v>1</v>
      </c>
      <c r="BG350">
        <v>0</v>
      </c>
      <c r="BH350">
        <v>0</v>
      </c>
      <c r="BI350">
        <v>0</v>
      </c>
      <c r="BL350" t="s">
        <v>130</v>
      </c>
      <c r="BM350">
        <v>1</v>
      </c>
      <c r="BN350">
        <v>0</v>
      </c>
      <c r="BO350">
        <v>0</v>
      </c>
      <c r="BP350">
        <v>0</v>
      </c>
      <c r="BT350">
        <v>0</v>
      </c>
      <c r="BU350">
        <v>0</v>
      </c>
      <c r="CE350" t="str">
        <f>"20:21:00.990"</f>
        <v>20:21:00.990</v>
      </c>
      <c r="CF350">
        <v>990400790</v>
      </c>
      <c r="CS350">
        <v>0</v>
      </c>
      <c r="CT350">
        <v>2</v>
      </c>
      <c r="CU350">
        <v>0</v>
      </c>
      <c r="CV350">
        <v>2</v>
      </c>
      <c r="CW350">
        <v>0</v>
      </c>
      <c r="CX350">
        <v>3</v>
      </c>
      <c r="CY350">
        <v>7</v>
      </c>
      <c r="CZ350" t="s">
        <v>131</v>
      </c>
      <c r="DA350">
        <v>116</v>
      </c>
      <c r="DB350">
        <v>3</v>
      </c>
      <c r="DC350" t="s">
        <v>132</v>
      </c>
      <c r="DD350" t="s">
        <v>133</v>
      </c>
      <c r="DG350">
        <v>8251125</v>
      </c>
      <c r="DI350">
        <v>0</v>
      </c>
      <c r="DJ350">
        <v>0</v>
      </c>
      <c r="DK350">
        <v>1</v>
      </c>
      <c r="DL350">
        <v>0</v>
      </c>
      <c r="DM350">
        <v>0</v>
      </c>
      <c r="DN350">
        <v>0</v>
      </c>
      <c r="DO350">
        <v>0</v>
      </c>
      <c r="DP350">
        <v>1</v>
      </c>
      <c r="DQ350">
        <v>0</v>
      </c>
      <c r="DR350">
        <v>0</v>
      </c>
      <c r="DS350">
        <v>0</v>
      </c>
    </row>
    <row r="351" spans="1:123" x14ac:dyDescent="0.25">
      <c r="A351" t="str">
        <f>"11/29/2023 20:21:02.320"</f>
        <v>11/29/2023 20:21:02.320</v>
      </c>
      <c r="C351" t="str">
        <f t="shared" si="41"/>
        <v>FFDF53C0</v>
      </c>
      <c r="D351" t="s">
        <v>123</v>
      </c>
      <c r="E351">
        <v>1</v>
      </c>
      <c r="F351">
        <v>1001</v>
      </c>
      <c r="G351" t="s">
        <v>134</v>
      </c>
      <c r="J351" t="s">
        <v>125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"20:21:01.930"</f>
        <v>20:21:01.930</v>
      </c>
      <c r="T351" t="str">
        <f>"20:21:01.530"</f>
        <v>20:21:01.530</v>
      </c>
      <c r="U351" t="str">
        <f t="shared" si="43"/>
        <v>AA0632</v>
      </c>
      <c r="V351">
        <v>0</v>
      </c>
      <c r="W351">
        <v>0</v>
      </c>
      <c r="X351">
        <v>2</v>
      </c>
      <c r="Y351">
        <v>0</v>
      </c>
      <c r="AA351">
        <v>0</v>
      </c>
      <c r="AB351">
        <v>9</v>
      </c>
      <c r="AC351">
        <v>3</v>
      </c>
      <c r="AD351">
        <v>0</v>
      </c>
      <c r="AE351">
        <v>10</v>
      </c>
      <c r="AF351" t="s">
        <v>126</v>
      </c>
      <c r="AG351">
        <v>0</v>
      </c>
      <c r="AH351">
        <v>0</v>
      </c>
      <c r="AI351">
        <v>2</v>
      </c>
      <c r="AJ351">
        <v>0</v>
      </c>
      <c r="AK351" t="s">
        <v>307</v>
      </c>
      <c r="AL351">
        <v>31.95852</v>
      </c>
      <c r="AM351" t="s">
        <v>308</v>
      </c>
      <c r="AN351">
        <v>-101.12473</v>
      </c>
      <c r="AQ351" t="s">
        <v>129</v>
      </c>
      <c r="AR351">
        <v>77</v>
      </c>
      <c r="AS351">
        <v>-40</v>
      </c>
      <c r="AT351">
        <v>-320</v>
      </c>
      <c r="BB351" t="str">
        <f t="shared" si="44"/>
        <v>1200</v>
      </c>
      <c r="BC351">
        <v>1</v>
      </c>
      <c r="BD351" t="str">
        <f t="shared" si="46"/>
        <v xml:space="preserve">N745MB  </v>
      </c>
      <c r="BE351">
        <v>1</v>
      </c>
      <c r="BG351">
        <v>0</v>
      </c>
      <c r="BH351">
        <v>0</v>
      </c>
      <c r="BI351">
        <v>0</v>
      </c>
      <c r="BL351" t="s">
        <v>130</v>
      </c>
      <c r="BM351">
        <v>1</v>
      </c>
      <c r="BN351">
        <v>0</v>
      </c>
      <c r="BO351">
        <v>0</v>
      </c>
      <c r="BP351">
        <v>0</v>
      </c>
      <c r="BT351">
        <v>0</v>
      </c>
      <c r="BU351">
        <v>0</v>
      </c>
      <c r="CE351" t="str">
        <f>"20:21:01.932"</f>
        <v>20:21:01.932</v>
      </c>
      <c r="CF351">
        <v>932336665</v>
      </c>
      <c r="CS351">
        <v>0</v>
      </c>
      <c r="CT351">
        <v>2</v>
      </c>
      <c r="CU351">
        <v>0</v>
      </c>
      <c r="CV351">
        <v>2</v>
      </c>
      <c r="CW351">
        <v>0</v>
      </c>
      <c r="CX351">
        <v>4</v>
      </c>
      <c r="CY351">
        <v>7</v>
      </c>
      <c r="CZ351" t="s">
        <v>131</v>
      </c>
      <c r="DA351">
        <v>116</v>
      </c>
      <c r="DB351">
        <v>3</v>
      </c>
      <c r="DC351" t="s">
        <v>132</v>
      </c>
      <c r="DD351" t="s">
        <v>133</v>
      </c>
      <c r="DG351">
        <v>8251639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1</v>
      </c>
      <c r="DQ351">
        <v>0</v>
      </c>
      <c r="DR351">
        <v>0</v>
      </c>
      <c r="DS351">
        <v>0</v>
      </c>
    </row>
    <row r="352" spans="1:123" x14ac:dyDescent="0.25">
      <c r="A352" t="str">
        <f>"11/29/2023 20:21:02.320"</f>
        <v>11/29/2023 20:21:02.320</v>
      </c>
      <c r="C352" t="str">
        <f t="shared" si="41"/>
        <v>FFDF53C0</v>
      </c>
      <c r="D352" t="s">
        <v>123</v>
      </c>
      <c r="E352">
        <v>14</v>
      </c>
      <c r="F352">
        <v>1014</v>
      </c>
      <c r="G352" t="s">
        <v>124</v>
      </c>
      <c r="J352" t="s">
        <v>125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"20:21:01.930"</f>
        <v>20:21:01.930</v>
      </c>
      <c r="T352" t="str">
        <f>"20:21:01.530"</f>
        <v>20:21:01.530</v>
      </c>
      <c r="U352" t="str">
        <f t="shared" si="43"/>
        <v>AA0632</v>
      </c>
      <c r="V352">
        <v>0</v>
      </c>
      <c r="W352">
        <v>0</v>
      </c>
      <c r="X352">
        <v>2</v>
      </c>
      <c r="Y352">
        <v>0</v>
      </c>
      <c r="AA352">
        <v>0</v>
      </c>
      <c r="AB352">
        <v>9</v>
      </c>
      <c r="AC352">
        <v>3</v>
      </c>
      <c r="AD352">
        <v>0</v>
      </c>
      <c r="AE352">
        <v>10</v>
      </c>
      <c r="AF352" t="s">
        <v>126</v>
      </c>
      <c r="AG352">
        <v>0</v>
      </c>
      <c r="AH352">
        <v>0</v>
      </c>
      <c r="AI352">
        <v>2</v>
      </c>
      <c r="AJ352">
        <v>0</v>
      </c>
      <c r="AK352" t="s">
        <v>307</v>
      </c>
      <c r="AL352">
        <v>31.95852</v>
      </c>
      <c r="AM352" t="s">
        <v>308</v>
      </c>
      <c r="AN352">
        <v>-101.12473</v>
      </c>
      <c r="AQ352" t="s">
        <v>129</v>
      </c>
      <c r="AR352">
        <v>77</v>
      </c>
      <c r="AS352">
        <v>-40</v>
      </c>
      <c r="AT352">
        <v>-320</v>
      </c>
      <c r="BB352" t="str">
        <f t="shared" si="44"/>
        <v>1200</v>
      </c>
      <c r="BC352">
        <v>1</v>
      </c>
      <c r="BD352" t="str">
        <f t="shared" si="46"/>
        <v xml:space="preserve">N745MB  </v>
      </c>
      <c r="BE352">
        <v>1</v>
      </c>
      <c r="BG352">
        <v>0</v>
      </c>
      <c r="BH352">
        <v>0</v>
      </c>
      <c r="BI352">
        <v>0</v>
      </c>
      <c r="BL352" t="s">
        <v>130</v>
      </c>
      <c r="BM352">
        <v>1</v>
      </c>
      <c r="BN352">
        <v>0</v>
      </c>
      <c r="BO352">
        <v>0</v>
      </c>
      <c r="BP352">
        <v>0</v>
      </c>
      <c r="BT352">
        <v>0</v>
      </c>
      <c r="BU352">
        <v>0</v>
      </c>
      <c r="CE352" t="str">
        <f>"20:21:01.932"</f>
        <v>20:21:01.932</v>
      </c>
      <c r="CF352">
        <v>932336665</v>
      </c>
      <c r="CS352">
        <v>0</v>
      </c>
      <c r="CT352">
        <v>2</v>
      </c>
      <c r="CU352">
        <v>0</v>
      </c>
      <c r="CV352">
        <v>2</v>
      </c>
      <c r="CW352">
        <v>0</v>
      </c>
      <c r="CX352">
        <v>4</v>
      </c>
      <c r="CY352">
        <v>7</v>
      </c>
      <c r="CZ352" t="s">
        <v>131</v>
      </c>
      <c r="DA352">
        <v>116</v>
      </c>
      <c r="DB352">
        <v>3</v>
      </c>
      <c r="DC352" t="s">
        <v>132</v>
      </c>
      <c r="DD352" t="s">
        <v>133</v>
      </c>
      <c r="DG352">
        <v>8251639</v>
      </c>
      <c r="DI352">
        <v>0</v>
      </c>
      <c r="DJ352">
        <v>0</v>
      </c>
      <c r="DK352">
        <v>1</v>
      </c>
      <c r="DL352">
        <v>0</v>
      </c>
      <c r="DM352">
        <v>0</v>
      </c>
      <c r="DN352">
        <v>0</v>
      </c>
      <c r="DO352">
        <v>0</v>
      </c>
      <c r="DP352">
        <v>1</v>
      </c>
      <c r="DQ352">
        <v>0</v>
      </c>
      <c r="DR352">
        <v>0</v>
      </c>
      <c r="DS352">
        <v>0</v>
      </c>
    </row>
    <row r="353" spans="1:123" x14ac:dyDescent="0.25">
      <c r="A353" t="str">
        <f>"11/29/2023 20:21:02.320"</f>
        <v>11/29/2023 20:21:02.320</v>
      </c>
      <c r="C353" t="str">
        <f t="shared" si="41"/>
        <v>FFDF53C0</v>
      </c>
      <c r="D353" t="s">
        <v>135</v>
      </c>
      <c r="E353">
        <v>31</v>
      </c>
      <c r="H353">
        <v>285</v>
      </c>
      <c r="I353" t="s">
        <v>136</v>
      </c>
      <c r="J353" t="s">
        <v>137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"20:21:01.930"</f>
        <v>20:21:01.930</v>
      </c>
      <c r="T353" t="str">
        <f>"20:21:01.530"</f>
        <v>20:21:01.530</v>
      </c>
      <c r="U353" t="str">
        <f t="shared" si="43"/>
        <v>AA0632</v>
      </c>
      <c r="V353">
        <v>0</v>
      </c>
      <c r="W353">
        <v>0</v>
      </c>
      <c r="X353">
        <v>2</v>
      </c>
      <c r="Y353">
        <v>0</v>
      </c>
      <c r="AA353">
        <v>0</v>
      </c>
      <c r="AB353">
        <v>9</v>
      </c>
      <c r="AC353">
        <v>3</v>
      </c>
      <c r="AD353">
        <v>0</v>
      </c>
      <c r="AE353">
        <v>10</v>
      </c>
      <c r="AF353" t="s">
        <v>126</v>
      </c>
      <c r="AG353">
        <v>0</v>
      </c>
      <c r="AH353">
        <v>0</v>
      </c>
      <c r="AI353">
        <v>2</v>
      </c>
      <c r="AJ353">
        <v>0</v>
      </c>
      <c r="AK353" t="s">
        <v>307</v>
      </c>
      <c r="AL353">
        <v>31.95852</v>
      </c>
      <c r="AM353" t="s">
        <v>308</v>
      </c>
      <c r="AN353">
        <v>-101.12473</v>
      </c>
      <c r="AQ353" t="s">
        <v>129</v>
      </c>
      <c r="AR353">
        <v>77</v>
      </c>
      <c r="AS353">
        <v>-40</v>
      </c>
      <c r="AT353">
        <v>-320</v>
      </c>
      <c r="BB353" t="str">
        <f t="shared" si="44"/>
        <v>1200</v>
      </c>
      <c r="BC353">
        <v>1</v>
      </c>
      <c r="BD353" t="str">
        <f t="shared" si="46"/>
        <v xml:space="preserve">N745MB  </v>
      </c>
      <c r="BE353">
        <v>1</v>
      </c>
      <c r="BG353">
        <v>0</v>
      </c>
      <c r="BH353">
        <v>0</v>
      </c>
      <c r="BI353">
        <v>0</v>
      </c>
      <c r="BL353" t="s">
        <v>130</v>
      </c>
      <c r="BM353">
        <v>1</v>
      </c>
      <c r="BN353">
        <v>0</v>
      </c>
      <c r="BO353">
        <v>0</v>
      </c>
      <c r="BP353">
        <v>0</v>
      </c>
      <c r="BT353">
        <v>0</v>
      </c>
      <c r="BU353">
        <v>0</v>
      </c>
      <c r="CE353" t="str">
        <f>"20:21:01.932"</f>
        <v>20:21:01.932</v>
      </c>
      <c r="CF353">
        <v>932336665</v>
      </c>
      <c r="CS353">
        <v>0</v>
      </c>
      <c r="CT353">
        <v>2</v>
      </c>
      <c r="CU353">
        <v>0</v>
      </c>
      <c r="CV353">
        <v>2</v>
      </c>
      <c r="CW353">
        <v>0</v>
      </c>
      <c r="CX353">
        <v>4</v>
      </c>
      <c r="CY353">
        <v>7</v>
      </c>
      <c r="CZ353" t="s">
        <v>131</v>
      </c>
      <c r="DA353">
        <v>116</v>
      </c>
      <c r="DB353">
        <v>3</v>
      </c>
      <c r="DC353" t="s">
        <v>132</v>
      </c>
      <c r="DD353" t="s">
        <v>133</v>
      </c>
      <c r="DG353">
        <v>8251639</v>
      </c>
      <c r="DI353">
        <v>0</v>
      </c>
      <c r="DJ353">
        <v>0</v>
      </c>
      <c r="DK353">
        <v>1</v>
      </c>
      <c r="DL353">
        <v>0</v>
      </c>
      <c r="DM353">
        <v>0</v>
      </c>
      <c r="DN353">
        <v>0</v>
      </c>
      <c r="DO353">
        <v>0</v>
      </c>
      <c r="DP353">
        <v>1</v>
      </c>
      <c r="DQ353">
        <v>0</v>
      </c>
      <c r="DR353">
        <v>0</v>
      </c>
      <c r="DS353">
        <v>0</v>
      </c>
    </row>
    <row r="354" spans="1:123" x14ac:dyDescent="0.25">
      <c r="A354" t="str">
        <f>"11/29/2023 20:21:02.320"</f>
        <v>11/29/2023 20:21:02.320</v>
      </c>
      <c r="C354" t="str">
        <f t="shared" si="41"/>
        <v>FFDF53C0</v>
      </c>
      <c r="D354" t="s">
        <v>138</v>
      </c>
      <c r="E354">
        <v>3</v>
      </c>
      <c r="H354">
        <v>160</v>
      </c>
      <c r="I354" t="s">
        <v>124</v>
      </c>
      <c r="J354" t="s">
        <v>139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"20:21:01.930"</f>
        <v>20:21:01.930</v>
      </c>
      <c r="T354" t="str">
        <f>"20:21:01.530"</f>
        <v>20:21:01.530</v>
      </c>
      <c r="U354" t="str">
        <f t="shared" si="43"/>
        <v>AA0632</v>
      </c>
      <c r="V354">
        <v>0</v>
      </c>
      <c r="W354">
        <v>0</v>
      </c>
      <c r="X354">
        <v>2</v>
      </c>
      <c r="Y354">
        <v>0</v>
      </c>
      <c r="AA354">
        <v>0</v>
      </c>
      <c r="AB354">
        <v>9</v>
      </c>
      <c r="AC354">
        <v>3</v>
      </c>
      <c r="AD354">
        <v>0</v>
      </c>
      <c r="AE354">
        <v>10</v>
      </c>
      <c r="AF354" t="s">
        <v>126</v>
      </c>
      <c r="AG354">
        <v>0</v>
      </c>
      <c r="AH354">
        <v>0</v>
      </c>
      <c r="AI354">
        <v>2</v>
      </c>
      <c r="AJ354">
        <v>0</v>
      </c>
      <c r="AK354" t="s">
        <v>307</v>
      </c>
      <c r="AL354">
        <v>31.95852</v>
      </c>
      <c r="AM354" t="s">
        <v>308</v>
      </c>
      <c r="AN354">
        <v>-101.12473</v>
      </c>
      <c r="AQ354" t="s">
        <v>129</v>
      </c>
      <c r="AR354">
        <v>77</v>
      </c>
      <c r="AS354">
        <v>-40</v>
      </c>
      <c r="AT354">
        <v>-320</v>
      </c>
      <c r="BB354" t="str">
        <f t="shared" si="44"/>
        <v>1200</v>
      </c>
      <c r="BC354">
        <v>1</v>
      </c>
      <c r="BD354" t="str">
        <f t="shared" si="46"/>
        <v xml:space="preserve">N745MB  </v>
      </c>
      <c r="BE354">
        <v>1</v>
      </c>
      <c r="BG354">
        <v>0</v>
      </c>
      <c r="BH354">
        <v>0</v>
      </c>
      <c r="BI354">
        <v>0</v>
      </c>
      <c r="BL354" t="s">
        <v>130</v>
      </c>
      <c r="BM354">
        <v>1</v>
      </c>
      <c r="BN354">
        <v>0</v>
      </c>
      <c r="BO354">
        <v>0</v>
      </c>
      <c r="BP354">
        <v>0</v>
      </c>
      <c r="BT354">
        <v>0</v>
      </c>
      <c r="BU354">
        <v>0</v>
      </c>
      <c r="CE354" t="str">
        <f>"20:21:01.932"</f>
        <v>20:21:01.932</v>
      </c>
      <c r="CF354">
        <v>932336665</v>
      </c>
      <c r="CS354">
        <v>0</v>
      </c>
      <c r="CT354">
        <v>2</v>
      </c>
      <c r="CU354">
        <v>0</v>
      </c>
      <c r="CV354">
        <v>2</v>
      </c>
      <c r="CW354">
        <v>0</v>
      </c>
      <c r="CX354">
        <v>4</v>
      </c>
      <c r="CY354">
        <v>7</v>
      </c>
      <c r="CZ354" t="s">
        <v>131</v>
      </c>
      <c r="DA354">
        <v>116</v>
      </c>
      <c r="DB354">
        <v>3</v>
      </c>
      <c r="DC354" t="s">
        <v>132</v>
      </c>
      <c r="DD354" t="s">
        <v>133</v>
      </c>
      <c r="DG354">
        <v>8251639</v>
      </c>
      <c r="DI354">
        <v>0</v>
      </c>
      <c r="DJ354">
        <v>0</v>
      </c>
      <c r="DK354">
        <v>1</v>
      </c>
      <c r="DL354">
        <v>0</v>
      </c>
      <c r="DM354">
        <v>0</v>
      </c>
      <c r="DN354">
        <v>0</v>
      </c>
      <c r="DO354">
        <v>0</v>
      </c>
      <c r="DP354">
        <v>1</v>
      </c>
      <c r="DQ354">
        <v>0</v>
      </c>
      <c r="DR354">
        <v>0</v>
      </c>
      <c r="DS354">
        <v>0</v>
      </c>
    </row>
    <row r="355" spans="1:123" x14ac:dyDescent="0.25">
      <c r="A355" t="str">
        <f>"11/29/2023 20:21:03.398"</f>
        <v>11/29/2023 20:21:03.398</v>
      </c>
      <c r="C355" t="str">
        <f t="shared" si="41"/>
        <v>FFDF53C0</v>
      </c>
      <c r="D355" t="s">
        <v>135</v>
      </c>
      <c r="E355">
        <v>31</v>
      </c>
      <c r="H355">
        <v>285</v>
      </c>
      <c r="I355" t="s">
        <v>136</v>
      </c>
      <c r="J355" t="s">
        <v>137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"20:21:02.938"</f>
        <v>20:21:02.938</v>
      </c>
      <c r="T355" t="str">
        <f>"20:21:02.637"</f>
        <v>20:21:02.637</v>
      </c>
      <c r="U355" t="str">
        <f t="shared" si="43"/>
        <v>AA0632</v>
      </c>
      <c r="V355">
        <v>0</v>
      </c>
      <c r="W355">
        <v>0</v>
      </c>
      <c r="X355">
        <v>2</v>
      </c>
      <c r="Y355">
        <v>0</v>
      </c>
      <c r="AA355">
        <v>0</v>
      </c>
      <c r="AB355">
        <v>9</v>
      </c>
      <c r="AC355">
        <v>3</v>
      </c>
      <c r="AD355">
        <v>0</v>
      </c>
      <c r="AE355">
        <v>10</v>
      </c>
      <c r="AF355" t="s">
        <v>126</v>
      </c>
      <c r="AG355">
        <v>0</v>
      </c>
      <c r="AH355">
        <v>0</v>
      </c>
      <c r="AI355">
        <v>2</v>
      </c>
      <c r="AJ355">
        <v>0</v>
      </c>
      <c r="AK355" t="s">
        <v>309</v>
      </c>
      <c r="AL355">
        <v>31.958348999999998</v>
      </c>
      <c r="AM355" t="s">
        <v>310</v>
      </c>
      <c r="AN355">
        <v>-101.12432200000001</v>
      </c>
      <c r="AQ355" t="s">
        <v>129</v>
      </c>
      <c r="AR355">
        <v>77</v>
      </c>
      <c r="AS355">
        <v>-40</v>
      </c>
      <c r="AT355">
        <v>-320</v>
      </c>
      <c r="BB355" t="str">
        <f t="shared" si="44"/>
        <v>1200</v>
      </c>
      <c r="BC355">
        <v>1</v>
      </c>
      <c r="BD355" t="str">
        <f t="shared" si="46"/>
        <v xml:space="preserve">N745MB  </v>
      </c>
      <c r="BE355">
        <v>1</v>
      </c>
      <c r="BG355">
        <v>0</v>
      </c>
      <c r="BH355">
        <v>0</v>
      </c>
      <c r="BI355">
        <v>0</v>
      </c>
      <c r="BL355" t="s">
        <v>130</v>
      </c>
      <c r="BM355">
        <v>1</v>
      </c>
      <c r="BN355">
        <v>0</v>
      </c>
      <c r="BO355">
        <v>0</v>
      </c>
      <c r="BP355">
        <v>0</v>
      </c>
      <c r="BT355">
        <v>0</v>
      </c>
      <c r="BU355">
        <v>0</v>
      </c>
      <c r="CE355" t="str">
        <f>"20:21:02.944"</f>
        <v>20:21:02.944</v>
      </c>
      <c r="CF355">
        <v>944267530</v>
      </c>
      <c r="CS355">
        <v>0</v>
      </c>
      <c r="CT355">
        <v>2</v>
      </c>
      <c r="CU355">
        <v>0</v>
      </c>
      <c r="CV355">
        <v>2</v>
      </c>
      <c r="CW355">
        <v>0</v>
      </c>
      <c r="CX355">
        <v>3</v>
      </c>
      <c r="CY355">
        <v>7</v>
      </c>
      <c r="CZ355" t="s">
        <v>131</v>
      </c>
      <c r="DA355">
        <v>116</v>
      </c>
      <c r="DB355">
        <v>3</v>
      </c>
      <c r="DC355" t="s">
        <v>132</v>
      </c>
      <c r="DD355" t="s">
        <v>133</v>
      </c>
      <c r="DG355">
        <v>8252224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1</v>
      </c>
      <c r="DQ355">
        <v>0</v>
      </c>
      <c r="DR355">
        <v>0</v>
      </c>
      <c r="DS355">
        <v>0</v>
      </c>
    </row>
    <row r="356" spans="1:123" x14ac:dyDescent="0.25">
      <c r="A356" t="str">
        <f>"11/29/2023 20:21:03.398"</f>
        <v>11/29/2023 20:21:03.398</v>
      </c>
      <c r="C356" t="str">
        <f t="shared" si="41"/>
        <v>FFDF53C0</v>
      </c>
      <c r="D356" t="s">
        <v>138</v>
      </c>
      <c r="E356">
        <v>3</v>
      </c>
      <c r="H356">
        <v>160</v>
      </c>
      <c r="I356" t="s">
        <v>124</v>
      </c>
      <c r="J356" t="s">
        <v>139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"20:21:02.938"</f>
        <v>20:21:02.938</v>
      </c>
      <c r="T356" t="str">
        <f>"20:21:02.637"</f>
        <v>20:21:02.637</v>
      </c>
      <c r="U356" t="str">
        <f t="shared" si="43"/>
        <v>AA0632</v>
      </c>
      <c r="V356">
        <v>0</v>
      </c>
      <c r="W356">
        <v>0</v>
      </c>
      <c r="X356">
        <v>2</v>
      </c>
      <c r="Y356">
        <v>0</v>
      </c>
      <c r="AA356">
        <v>0</v>
      </c>
      <c r="AB356">
        <v>9</v>
      </c>
      <c r="AC356">
        <v>3</v>
      </c>
      <c r="AD356">
        <v>0</v>
      </c>
      <c r="AE356">
        <v>10</v>
      </c>
      <c r="AF356" t="s">
        <v>126</v>
      </c>
      <c r="AG356">
        <v>0</v>
      </c>
      <c r="AH356">
        <v>0</v>
      </c>
      <c r="AI356">
        <v>2</v>
      </c>
      <c r="AJ356">
        <v>0</v>
      </c>
      <c r="AK356" t="s">
        <v>309</v>
      </c>
      <c r="AL356">
        <v>31.958348999999998</v>
      </c>
      <c r="AM356" t="s">
        <v>310</v>
      </c>
      <c r="AN356">
        <v>-101.12432200000001</v>
      </c>
      <c r="AQ356" t="s">
        <v>129</v>
      </c>
      <c r="AR356">
        <v>77</v>
      </c>
      <c r="AS356">
        <v>-40</v>
      </c>
      <c r="AT356">
        <v>-320</v>
      </c>
      <c r="BB356" t="str">
        <f t="shared" si="44"/>
        <v>1200</v>
      </c>
      <c r="BC356">
        <v>1</v>
      </c>
      <c r="BD356" t="str">
        <f t="shared" si="46"/>
        <v xml:space="preserve">N745MB  </v>
      </c>
      <c r="BE356">
        <v>1</v>
      </c>
      <c r="BG356">
        <v>0</v>
      </c>
      <c r="BH356">
        <v>0</v>
      </c>
      <c r="BI356">
        <v>0</v>
      </c>
      <c r="BL356" t="s">
        <v>130</v>
      </c>
      <c r="BM356">
        <v>1</v>
      </c>
      <c r="BN356">
        <v>0</v>
      </c>
      <c r="BO356">
        <v>0</v>
      </c>
      <c r="BP356">
        <v>0</v>
      </c>
      <c r="BT356">
        <v>0</v>
      </c>
      <c r="BU356">
        <v>0</v>
      </c>
      <c r="CE356" t="str">
        <f>"20:21:02.944"</f>
        <v>20:21:02.944</v>
      </c>
      <c r="CF356">
        <v>944267530</v>
      </c>
      <c r="CS356">
        <v>0</v>
      </c>
      <c r="CT356">
        <v>2</v>
      </c>
      <c r="CU356">
        <v>0</v>
      </c>
      <c r="CV356">
        <v>2</v>
      </c>
      <c r="CW356">
        <v>0</v>
      </c>
      <c r="CX356">
        <v>3</v>
      </c>
      <c r="CY356">
        <v>7</v>
      </c>
      <c r="CZ356" t="s">
        <v>131</v>
      </c>
      <c r="DA356">
        <v>116</v>
      </c>
      <c r="DB356">
        <v>3</v>
      </c>
      <c r="DC356" t="s">
        <v>132</v>
      </c>
      <c r="DD356" t="s">
        <v>133</v>
      </c>
      <c r="DG356">
        <v>8252224</v>
      </c>
      <c r="DI356">
        <v>0</v>
      </c>
      <c r="DJ356">
        <v>0</v>
      </c>
      <c r="DK356">
        <v>1</v>
      </c>
      <c r="DL356">
        <v>0</v>
      </c>
      <c r="DM356">
        <v>0</v>
      </c>
      <c r="DN356">
        <v>0</v>
      </c>
      <c r="DO356">
        <v>0</v>
      </c>
      <c r="DP356">
        <v>1</v>
      </c>
      <c r="DQ356">
        <v>0</v>
      </c>
      <c r="DR356">
        <v>0</v>
      </c>
      <c r="DS356">
        <v>0</v>
      </c>
    </row>
    <row r="357" spans="1:123" x14ac:dyDescent="0.25">
      <c r="A357" t="str">
        <f>"11/29/2023 20:21:03.398"</f>
        <v>11/29/2023 20:21:03.398</v>
      </c>
      <c r="C357" t="str">
        <f t="shared" si="41"/>
        <v>FFDF53C0</v>
      </c>
      <c r="D357" t="s">
        <v>123</v>
      </c>
      <c r="E357">
        <v>1</v>
      </c>
      <c r="F357">
        <v>1001</v>
      </c>
      <c r="G357" t="s">
        <v>134</v>
      </c>
      <c r="J357" t="s">
        <v>125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"20:21:02.938"</f>
        <v>20:21:02.938</v>
      </c>
      <c r="T357" t="str">
        <f>"20:21:02.637"</f>
        <v>20:21:02.637</v>
      </c>
      <c r="U357" t="str">
        <f t="shared" si="43"/>
        <v>AA0632</v>
      </c>
      <c r="V357">
        <v>0</v>
      </c>
      <c r="W357">
        <v>0</v>
      </c>
      <c r="X357">
        <v>2</v>
      </c>
      <c r="Y357">
        <v>0</v>
      </c>
      <c r="AA357">
        <v>0</v>
      </c>
      <c r="AB357">
        <v>9</v>
      </c>
      <c r="AC357">
        <v>3</v>
      </c>
      <c r="AD357">
        <v>0</v>
      </c>
      <c r="AE357">
        <v>10</v>
      </c>
      <c r="AF357" t="s">
        <v>126</v>
      </c>
      <c r="AG357">
        <v>0</v>
      </c>
      <c r="AH357">
        <v>0</v>
      </c>
      <c r="AI357">
        <v>2</v>
      </c>
      <c r="AJ357">
        <v>0</v>
      </c>
      <c r="AK357" t="s">
        <v>309</v>
      </c>
      <c r="AL357">
        <v>31.958348999999998</v>
      </c>
      <c r="AM357" t="s">
        <v>310</v>
      </c>
      <c r="AN357">
        <v>-101.12432200000001</v>
      </c>
      <c r="AQ357" t="s">
        <v>129</v>
      </c>
      <c r="AR357">
        <v>77</v>
      </c>
      <c r="AS357">
        <v>-40</v>
      </c>
      <c r="AT357">
        <v>-320</v>
      </c>
      <c r="BB357" t="str">
        <f t="shared" si="44"/>
        <v>1200</v>
      </c>
      <c r="BC357">
        <v>1</v>
      </c>
      <c r="BD357" t="str">
        <f t="shared" si="46"/>
        <v xml:space="preserve">N745MB  </v>
      </c>
      <c r="BE357">
        <v>1</v>
      </c>
      <c r="BG357">
        <v>0</v>
      </c>
      <c r="BH357">
        <v>0</v>
      </c>
      <c r="BI357">
        <v>0</v>
      </c>
      <c r="BL357" t="s">
        <v>130</v>
      </c>
      <c r="BM357">
        <v>1</v>
      </c>
      <c r="BN357">
        <v>0</v>
      </c>
      <c r="BO357">
        <v>0</v>
      </c>
      <c r="BP357">
        <v>0</v>
      </c>
      <c r="BT357">
        <v>0</v>
      </c>
      <c r="BU357">
        <v>0</v>
      </c>
      <c r="CE357" t="str">
        <f>"20:21:02.944"</f>
        <v>20:21:02.944</v>
      </c>
      <c r="CF357">
        <v>944267530</v>
      </c>
      <c r="CS357">
        <v>0</v>
      </c>
      <c r="CT357">
        <v>2</v>
      </c>
      <c r="CU357">
        <v>0</v>
      </c>
      <c r="CV357">
        <v>2</v>
      </c>
      <c r="CW357">
        <v>0</v>
      </c>
      <c r="CX357">
        <v>3</v>
      </c>
      <c r="CY357">
        <v>7</v>
      </c>
      <c r="CZ357" t="s">
        <v>131</v>
      </c>
      <c r="DA357">
        <v>116</v>
      </c>
      <c r="DB357">
        <v>3</v>
      </c>
      <c r="DC357" t="s">
        <v>132</v>
      </c>
      <c r="DD357" t="s">
        <v>133</v>
      </c>
      <c r="DG357">
        <v>8252224</v>
      </c>
      <c r="DI357">
        <v>0</v>
      </c>
      <c r="DJ357">
        <v>0</v>
      </c>
      <c r="DK357">
        <v>1</v>
      </c>
      <c r="DL357">
        <v>0</v>
      </c>
      <c r="DM357">
        <v>0</v>
      </c>
      <c r="DN357">
        <v>0</v>
      </c>
      <c r="DO357">
        <v>0</v>
      </c>
      <c r="DP357">
        <v>1</v>
      </c>
      <c r="DQ357">
        <v>0</v>
      </c>
      <c r="DR357">
        <v>0</v>
      </c>
      <c r="DS357">
        <v>0</v>
      </c>
    </row>
    <row r="358" spans="1:123" x14ac:dyDescent="0.25">
      <c r="A358" t="str">
        <f>"11/29/2023 20:21:03.398"</f>
        <v>11/29/2023 20:21:03.398</v>
      </c>
      <c r="C358" t="str">
        <f t="shared" si="41"/>
        <v>FFDF53C0</v>
      </c>
      <c r="D358" t="s">
        <v>123</v>
      </c>
      <c r="E358">
        <v>14</v>
      </c>
      <c r="F358">
        <v>1014</v>
      </c>
      <c r="G358" t="s">
        <v>124</v>
      </c>
      <c r="J358" t="s">
        <v>125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"20:21:02.938"</f>
        <v>20:21:02.938</v>
      </c>
      <c r="T358" t="str">
        <f>"20:21:02.637"</f>
        <v>20:21:02.637</v>
      </c>
      <c r="U358" t="str">
        <f t="shared" si="43"/>
        <v>AA0632</v>
      </c>
      <c r="V358">
        <v>0</v>
      </c>
      <c r="W358">
        <v>0</v>
      </c>
      <c r="X358">
        <v>2</v>
      </c>
      <c r="Y358">
        <v>0</v>
      </c>
      <c r="AA358">
        <v>0</v>
      </c>
      <c r="AB358">
        <v>9</v>
      </c>
      <c r="AC358">
        <v>3</v>
      </c>
      <c r="AD358">
        <v>0</v>
      </c>
      <c r="AE358">
        <v>10</v>
      </c>
      <c r="AF358" t="s">
        <v>126</v>
      </c>
      <c r="AG358">
        <v>0</v>
      </c>
      <c r="AH358">
        <v>0</v>
      </c>
      <c r="AI358">
        <v>2</v>
      </c>
      <c r="AJ358">
        <v>0</v>
      </c>
      <c r="AK358" t="s">
        <v>309</v>
      </c>
      <c r="AL358">
        <v>31.958348999999998</v>
      </c>
      <c r="AM358" t="s">
        <v>310</v>
      </c>
      <c r="AN358">
        <v>-101.12432200000001</v>
      </c>
      <c r="AQ358" t="s">
        <v>129</v>
      </c>
      <c r="AR358">
        <v>77</v>
      </c>
      <c r="AS358">
        <v>-40</v>
      </c>
      <c r="AT358">
        <v>-320</v>
      </c>
      <c r="BB358" t="str">
        <f t="shared" si="44"/>
        <v>1200</v>
      </c>
      <c r="BC358">
        <v>1</v>
      </c>
      <c r="BD358" t="str">
        <f t="shared" si="46"/>
        <v xml:space="preserve">N745MB  </v>
      </c>
      <c r="BE358">
        <v>1</v>
      </c>
      <c r="BG358">
        <v>0</v>
      </c>
      <c r="BH358">
        <v>0</v>
      </c>
      <c r="BI358">
        <v>0</v>
      </c>
      <c r="BL358" t="s">
        <v>130</v>
      </c>
      <c r="BM358">
        <v>1</v>
      </c>
      <c r="BN358">
        <v>0</v>
      </c>
      <c r="BO358">
        <v>0</v>
      </c>
      <c r="BP358">
        <v>0</v>
      </c>
      <c r="BT358">
        <v>0</v>
      </c>
      <c r="BU358">
        <v>0</v>
      </c>
      <c r="CE358" t="str">
        <f>"20:21:02.944"</f>
        <v>20:21:02.944</v>
      </c>
      <c r="CF358">
        <v>944267530</v>
      </c>
      <c r="CS358">
        <v>0</v>
      </c>
      <c r="CT358">
        <v>2</v>
      </c>
      <c r="CU358">
        <v>0</v>
      </c>
      <c r="CV358">
        <v>2</v>
      </c>
      <c r="CW358">
        <v>0</v>
      </c>
      <c r="CX358">
        <v>3</v>
      </c>
      <c r="CY358">
        <v>7</v>
      </c>
      <c r="CZ358" t="s">
        <v>131</v>
      </c>
      <c r="DA358">
        <v>116</v>
      </c>
      <c r="DB358">
        <v>3</v>
      </c>
      <c r="DC358" t="s">
        <v>132</v>
      </c>
      <c r="DD358" t="s">
        <v>133</v>
      </c>
      <c r="DG358">
        <v>8252224</v>
      </c>
      <c r="DI358">
        <v>0</v>
      </c>
      <c r="DJ358">
        <v>0</v>
      </c>
      <c r="DK358">
        <v>1</v>
      </c>
      <c r="DL358">
        <v>0</v>
      </c>
      <c r="DM358">
        <v>0</v>
      </c>
      <c r="DN358">
        <v>0</v>
      </c>
      <c r="DO358">
        <v>0</v>
      </c>
      <c r="DP358">
        <v>1</v>
      </c>
      <c r="DQ358">
        <v>0</v>
      </c>
      <c r="DR358">
        <v>0</v>
      </c>
      <c r="DS358">
        <v>0</v>
      </c>
    </row>
    <row r="359" spans="1:123" x14ac:dyDescent="0.25">
      <c r="A359" t="str">
        <f>"11/29/2023 20:21:04.351"</f>
        <v>11/29/2023 20:21:04.351</v>
      </c>
      <c r="C359" t="str">
        <f t="shared" ref="C359:C422" si="49">"FFDF53C0"</f>
        <v>FFDF53C0</v>
      </c>
      <c r="D359" t="s">
        <v>135</v>
      </c>
      <c r="E359">
        <v>31</v>
      </c>
      <c r="H359">
        <v>285</v>
      </c>
      <c r="I359" t="s">
        <v>136</v>
      </c>
      <c r="J359" t="s">
        <v>137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"20:21:03.984"</f>
        <v>20:21:03.984</v>
      </c>
      <c r="T359" t="str">
        <f>"20:21:03.584"</f>
        <v>20:21:03.584</v>
      </c>
      <c r="U359" t="str">
        <f t="shared" si="43"/>
        <v>AA0632</v>
      </c>
      <c r="V359">
        <v>0</v>
      </c>
      <c r="W359">
        <v>0</v>
      </c>
      <c r="X359">
        <v>2</v>
      </c>
      <c r="Y359">
        <v>0</v>
      </c>
      <c r="AA359">
        <v>0</v>
      </c>
      <c r="AB359">
        <v>9</v>
      </c>
      <c r="AC359">
        <v>3</v>
      </c>
      <c r="AD359">
        <v>0</v>
      </c>
      <c r="AE359">
        <v>10</v>
      </c>
      <c r="AF359" t="s">
        <v>126</v>
      </c>
      <c r="AG359">
        <v>0</v>
      </c>
      <c r="AH359">
        <v>0</v>
      </c>
      <c r="AI359">
        <v>2</v>
      </c>
      <c r="AJ359">
        <v>0</v>
      </c>
      <c r="AK359" t="s">
        <v>311</v>
      </c>
      <c r="AL359">
        <v>31.958155999999999</v>
      </c>
      <c r="AM359" t="s">
        <v>312</v>
      </c>
      <c r="AN359">
        <v>-101.123829</v>
      </c>
      <c r="AQ359" t="s">
        <v>129</v>
      </c>
      <c r="AR359">
        <v>77</v>
      </c>
      <c r="AS359">
        <v>-41</v>
      </c>
      <c r="AT359">
        <v>-320</v>
      </c>
      <c r="BB359" t="str">
        <f t="shared" si="44"/>
        <v>1200</v>
      </c>
      <c r="BC359">
        <v>1</v>
      </c>
      <c r="BD359" t="str">
        <f t="shared" si="46"/>
        <v xml:space="preserve">N745MB  </v>
      </c>
      <c r="BE359">
        <v>1</v>
      </c>
      <c r="BG359">
        <v>0</v>
      </c>
      <c r="BH359">
        <v>0</v>
      </c>
      <c r="BI359">
        <v>0</v>
      </c>
      <c r="BL359" t="s">
        <v>130</v>
      </c>
      <c r="BM359">
        <v>1</v>
      </c>
      <c r="BN359">
        <v>0</v>
      </c>
      <c r="BO359">
        <v>0</v>
      </c>
      <c r="BP359">
        <v>0</v>
      </c>
      <c r="BT359">
        <v>0</v>
      </c>
      <c r="BU359">
        <v>0</v>
      </c>
      <c r="CE359" t="str">
        <f>"20:21:03.990"</f>
        <v>20:21:03.990</v>
      </c>
      <c r="CF359">
        <v>990198439</v>
      </c>
      <c r="CS359">
        <v>0</v>
      </c>
      <c r="CT359">
        <v>2</v>
      </c>
      <c r="CU359">
        <v>0</v>
      </c>
      <c r="CV359">
        <v>2</v>
      </c>
      <c r="CW359">
        <v>0</v>
      </c>
      <c r="CX359">
        <v>4</v>
      </c>
      <c r="CY359">
        <v>7</v>
      </c>
      <c r="CZ359" t="s">
        <v>131</v>
      </c>
      <c r="DA359">
        <v>116</v>
      </c>
      <c r="DB359">
        <v>3</v>
      </c>
      <c r="DC359" t="s">
        <v>132</v>
      </c>
      <c r="DD359" t="s">
        <v>133</v>
      </c>
      <c r="DG359">
        <v>8252852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1</v>
      </c>
      <c r="DQ359">
        <v>0</v>
      </c>
      <c r="DR359">
        <v>0</v>
      </c>
      <c r="DS359">
        <v>0</v>
      </c>
    </row>
    <row r="360" spans="1:123" x14ac:dyDescent="0.25">
      <c r="A360" t="str">
        <f>"11/29/2023 20:21:04.351"</f>
        <v>11/29/2023 20:21:04.351</v>
      </c>
      <c r="C360" t="str">
        <f t="shared" si="49"/>
        <v>FFDF53C0</v>
      </c>
      <c r="D360" t="s">
        <v>138</v>
      </c>
      <c r="E360">
        <v>3</v>
      </c>
      <c r="H360">
        <v>160</v>
      </c>
      <c r="I360" t="s">
        <v>124</v>
      </c>
      <c r="J360" t="s">
        <v>139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"20:21:03.984"</f>
        <v>20:21:03.984</v>
      </c>
      <c r="T360" t="str">
        <f>"20:21:03.584"</f>
        <v>20:21:03.584</v>
      </c>
      <c r="U360" t="str">
        <f t="shared" si="43"/>
        <v>AA0632</v>
      </c>
      <c r="V360">
        <v>0</v>
      </c>
      <c r="W360">
        <v>0</v>
      </c>
      <c r="X360">
        <v>2</v>
      </c>
      <c r="Y360">
        <v>0</v>
      </c>
      <c r="AA360">
        <v>0</v>
      </c>
      <c r="AB360">
        <v>9</v>
      </c>
      <c r="AC360">
        <v>3</v>
      </c>
      <c r="AD360">
        <v>0</v>
      </c>
      <c r="AE360">
        <v>10</v>
      </c>
      <c r="AF360" t="s">
        <v>126</v>
      </c>
      <c r="AG360">
        <v>0</v>
      </c>
      <c r="AH360">
        <v>0</v>
      </c>
      <c r="AI360">
        <v>2</v>
      </c>
      <c r="AJ360">
        <v>0</v>
      </c>
      <c r="AK360" t="s">
        <v>311</v>
      </c>
      <c r="AL360">
        <v>31.958155999999999</v>
      </c>
      <c r="AM360" t="s">
        <v>312</v>
      </c>
      <c r="AN360">
        <v>-101.123829</v>
      </c>
      <c r="AQ360" t="s">
        <v>129</v>
      </c>
      <c r="AR360">
        <v>77</v>
      </c>
      <c r="AS360">
        <v>-41</v>
      </c>
      <c r="AT360">
        <v>-320</v>
      </c>
      <c r="BB360" t="str">
        <f t="shared" si="44"/>
        <v>1200</v>
      </c>
      <c r="BC360">
        <v>1</v>
      </c>
      <c r="BD360" t="str">
        <f t="shared" si="46"/>
        <v xml:space="preserve">N745MB  </v>
      </c>
      <c r="BE360">
        <v>1</v>
      </c>
      <c r="BG360">
        <v>0</v>
      </c>
      <c r="BH360">
        <v>0</v>
      </c>
      <c r="BI360">
        <v>0</v>
      </c>
      <c r="BL360" t="s">
        <v>130</v>
      </c>
      <c r="BM360">
        <v>1</v>
      </c>
      <c r="BN360">
        <v>0</v>
      </c>
      <c r="BO360">
        <v>0</v>
      </c>
      <c r="BP360">
        <v>0</v>
      </c>
      <c r="BT360">
        <v>0</v>
      </c>
      <c r="BU360">
        <v>0</v>
      </c>
      <c r="CE360" t="str">
        <f>"20:21:03.990"</f>
        <v>20:21:03.990</v>
      </c>
      <c r="CF360">
        <v>990198439</v>
      </c>
      <c r="CS360">
        <v>0</v>
      </c>
      <c r="CT360">
        <v>2</v>
      </c>
      <c r="CU360">
        <v>0</v>
      </c>
      <c r="CV360">
        <v>2</v>
      </c>
      <c r="CW360">
        <v>0</v>
      </c>
      <c r="CX360">
        <v>4</v>
      </c>
      <c r="CY360">
        <v>7</v>
      </c>
      <c r="CZ360" t="s">
        <v>131</v>
      </c>
      <c r="DA360">
        <v>116</v>
      </c>
      <c r="DB360">
        <v>3</v>
      </c>
      <c r="DC360" t="s">
        <v>132</v>
      </c>
      <c r="DD360" t="s">
        <v>133</v>
      </c>
      <c r="DG360">
        <v>8252852</v>
      </c>
      <c r="DI360">
        <v>0</v>
      </c>
      <c r="DJ360">
        <v>0</v>
      </c>
      <c r="DK360">
        <v>1</v>
      </c>
      <c r="DL360">
        <v>0</v>
      </c>
      <c r="DM360">
        <v>0</v>
      </c>
      <c r="DN360">
        <v>0</v>
      </c>
      <c r="DO360">
        <v>0</v>
      </c>
      <c r="DP360">
        <v>1</v>
      </c>
      <c r="DQ360">
        <v>0</v>
      </c>
      <c r="DR360">
        <v>0</v>
      </c>
      <c r="DS360">
        <v>0</v>
      </c>
    </row>
    <row r="361" spans="1:123" x14ac:dyDescent="0.25">
      <c r="A361" t="str">
        <f>"11/29/2023 20:21:04.351"</f>
        <v>11/29/2023 20:21:04.351</v>
      </c>
      <c r="C361" t="str">
        <f t="shared" si="49"/>
        <v>FFDF53C0</v>
      </c>
      <c r="D361" t="s">
        <v>123</v>
      </c>
      <c r="E361">
        <v>1</v>
      </c>
      <c r="F361">
        <v>1001</v>
      </c>
      <c r="G361" t="s">
        <v>134</v>
      </c>
      <c r="J361" t="s">
        <v>125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"20:21:03.984"</f>
        <v>20:21:03.984</v>
      </c>
      <c r="T361" t="str">
        <f>"20:21:03.584"</f>
        <v>20:21:03.584</v>
      </c>
      <c r="U361" t="str">
        <f t="shared" si="43"/>
        <v>AA0632</v>
      </c>
      <c r="V361">
        <v>0</v>
      </c>
      <c r="W361">
        <v>0</v>
      </c>
      <c r="X361">
        <v>2</v>
      </c>
      <c r="Y361">
        <v>0</v>
      </c>
      <c r="AA361">
        <v>0</v>
      </c>
      <c r="AB361">
        <v>9</v>
      </c>
      <c r="AC361">
        <v>3</v>
      </c>
      <c r="AD361">
        <v>0</v>
      </c>
      <c r="AE361">
        <v>10</v>
      </c>
      <c r="AF361" t="s">
        <v>126</v>
      </c>
      <c r="AG361">
        <v>0</v>
      </c>
      <c r="AH361">
        <v>0</v>
      </c>
      <c r="AI361">
        <v>2</v>
      </c>
      <c r="AJ361">
        <v>0</v>
      </c>
      <c r="AK361" t="s">
        <v>311</v>
      </c>
      <c r="AL361">
        <v>31.958155999999999</v>
      </c>
      <c r="AM361" t="s">
        <v>312</v>
      </c>
      <c r="AN361">
        <v>-101.123829</v>
      </c>
      <c r="AQ361" t="s">
        <v>129</v>
      </c>
      <c r="AR361">
        <v>77</v>
      </c>
      <c r="AS361">
        <v>-41</v>
      </c>
      <c r="AT361">
        <v>-320</v>
      </c>
      <c r="BB361" t="str">
        <f t="shared" si="44"/>
        <v>1200</v>
      </c>
      <c r="BC361">
        <v>1</v>
      </c>
      <c r="BD361" t="str">
        <f t="shared" si="46"/>
        <v xml:space="preserve">N745MB  </v>
      </c>
      <c r="BE361">
        <v>1</v>
      </c>
      <c r="BG361">
        <v>0</v>
      </c>
      <c r="BH361">
        <v>0</v>
      </c>
      <c r="BI361">
        <v>0</v>
      </c>
      <c r="BL361" t="s">
        <v>130</v>
      </c>
      <c r="BM361">
        <v>1</v>
      </c>
      <c r="BN361">
        <v>0</v>
      </c>
      <c r="BO361">
        <v>0</v>
      </c>
      <c r="BP361">
        <v>0</v>
      </c>
      <c r="BT361">
        <v>0</v>
      </c>
      <c r="BU361">
        <v>0</v>
      </c>
      <c r="CE361" t="str">
        <f>"20:21:03.990"</f>
        <v>20:21:03.990</v>
      </c>
      <c r="CF361">
        <v>990198439</v>
      </c>
      <c r="CS361">
        <v>0</v>
      </c>
      <c r="CT361">
        <v>2</v>
      </c>
      <c r="CU361">
        <v>0</v>
      </c>
      <c r="CV361">
        <v>2</v>
      </c>
      <c r="CW361">
        <v>0</v>
      </c>
      <c r="CX361">
        <v>4</v>
      </c>
      <c r="CY361">
        <v>7</v>
      </c>
      <c r="CZ361" t="s">
        <v>131</v>
      </c>
      <c r="DA361">
        <v>116</v>
      </c>
      <c r="DB361">
        <v>3</v>
      </c>
      <c r="DC361" t="s">
        <v>132</v>
      </c>
      <c r="DD361" t="s">
        <v>133</v>
      </c>
      <c r="DG361">
        <v>8252852</v>
      </c>
      <c r="DI361">
        <v>0</v>
      </c>
      <c r="DJ361">
        <v>0</v>
      </c>
      <c r="DK361">
        <v>1</v>
      </c>
      <c r="DL361">
        <v>0</v>
      </c>
      <c r="DM361">
        <v>0</v>
      </c>
      <c r="DN361">
        <v>0</v>
      </c>
      <c r="DO361">
        <v>0</v>
      </c>
      <c r="DP361">
        <v>1</v>
      </c>
      <c r="DQ361">
        <v>0</v>
      </c>
      <c r="DR361">
        <v>0</v>
      </c>
      <c r="DS361">
        <v>0</v>
      </c>
    </row>
    <row r="362" spans="1:123" x14ac:dyDescent="0.25">
      <c r="A362" t="str">
        <f>"11/29/2023 20:21:04.351"</f>
        <v>11/29/2023 20:21:04.351</v>
      </c>
      <c r="C362" t="str">
        <f t="shared" si="49"/>
        <v>FFDF53C0</v>
      </c>
      <c r="D362" t="s">
        <v>123</v>
      </c>
      <c r="E362">
        <v>14</v>
      </c>
      <c r="F362">
        <v>1014</v>
      </c>
      <c r="G362" t="s">
        <v>124</v>
      </c>
      <c r="J362" t="s">
        <v>125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"20:21:03.984"</f>
        <v>20:21:03.984</v>
      </c>
      <c r="T362" t="str">
        <f>"20:21:03.584"</f>
        <v>20:21:03.584</v>
      </c>
      <c r="U362" t="str">
        <f t="shared" si="43"/>
        <v>AA0632</v>
      </c>
      <c r="V362">
        <v>0</v>
      </c>
      <c r="W362">
        <v>0</v>
      </c>
      <c r="X362">
        <v>2</v>
      </c>
      <c r="Y362">
        <v>0</v>
      </c>
      <c r="AA362">
        <v>0</v>
      </c>
      <c r="AB362">
        <v>9</v>
      </c>
      <c r="AC362">
        <v>3</v>
      </c>
      <c r="AD362">
        <v>0</v>
      </c>
      <c r="AE362">
        <v>10</v>
      </c>
      <c r="AF362" t="s">
        <v>126</v>
      </c>
      <c r="AG362">
        <v>0</v>
      </c>
      <c r="AH362">
        <v>0</v>
      </c>
      <c r="AI362">
        <v>2</v>
      </c>
      <c r="AJ362">
        <v>0</v>
      </c>
      <c r="AK362" t="s">
        <v>311</v>
      </c>
      <c r="AL362">
        <v>31.958155999999999</v>
      </c>
      <c r="AM362" t="s">
        <v>312</v>
      </c>
      <c r="AN362">
        <v>-101.123829</v>
      </c>
      <c r="AQ362" t="s">
        <v>129</v>
      </c>
      <c r="AR362">
        <v>77</v>
      </c>
      <c r="AS362">
        <v>-41</v>
      </c>
      <c r="AT362">
        <v>-320</v>
      </c>
      <c r="BB362" t="str">
        <f t="shared" si="44"/>
        <v>1200</v>
      </c>
      <c r="BC362">
        <v>1</v>
      </c>
      <c r="BD362" t="str">
        <f t="shared" si="46"/>
        <v xml:space="preserve">N745MB  </v>
      </c>
      <c r="BE362">
        <v>1</v>
      </c>
      <c r="BG362">
        <v>0</v>
      </c>
      <c r="BH362">
        <v>0</v>
      </c>
      <c r="BI362">
        <v>0</v>
      </c>
      <c r="BL362" t="s">
        <v>130</v>
      </c>
      <c r="BM362">
        <v>1</v>
      </c>
      <c r="BN362">
        <v>0</v>
      </c>
      <c r="BO362">
        <v>0</v>
      </c>
      <c r="BP362">
        <v>0</v>
      </c>
      <c r="BT362">
        <v>0</v>
      </c>
      <c r="BU362">
        <v>0</v>
      </c>
      <c r="CE362" t="str">
        <f>"20:21:03.990"</f>
        <v>20:21:03.990</v>
      </c>
      <c r="CF362">
        <v>990198439</v>
      </c>
      <c r="CS362">
        <v>0</v>
      </c>
      <c r="CT362">
        <v>2</v>
      </c>
      <c r="CU362">
        <v>0</v>
      </c>
      <c r="CV362">
        <v>2</v>
      </c>
      <c r="CW362">
        <v>0</v>
      </c>
      <c r="CX362">
        <v>4</v>
      </c>
      <c r="CY362">
        <v>7</v>
      </c>
      <c r="CZ362" t="s">
        <v>131</v>
      </c>
      <c r="DA362">
        <v>116</v>
      </c>
      <c r="DB362">
        <v>3</v>
      </c>
      <c r="DC362" t="s">
        <v>132</v>
      </c>
      <c r="DD362" t="s">
        <v>133</v>
      </c>
      <c r="DG362">
        <v>8252852</v>
      </c>
      <c r="DI362">
        <v>0</v>
      </c>
      <c r="DJ362">
        <v>0</v>
      </c>
      <c r="DK362">
        <v>1</v>
      </c>
      <c r="DL362">
        <v>0</v>
      </c>
      <c r="DM362">
        <v>0</v>
      </c>
      <c r="DN362">
        <v>0</v>
      </c>
      <c r="DO362">
        <v>0</v>
      </c>
      <c r="DP362">
        <v>1</v>
      </c>
      <c r="DQ362">
        <v>0</v>
      </c>
      <c r="DR362">
        <v>0</v>
      </c>
      <c r="DS362">
        <v>0</v>
      </c>
    </row>
    <row r="363" spans="1:123" x14ac:dyDescent="0.25">
      <c r="A363" t="str">
        <f>"11/29/2023 20:21:05.414"</f>
        <v>11/29/2023 20:21:05.414</v>
      </c>
      <c r="C363" t="str">
        <f t="shared" si="49"/>
        <v>FFDF53C0</v>
      </c>
      <c r="D363" t="s">
        <v>123</v>
      </c>
      <c r="E363">
        <v>14</v>
      </c>
      <c r="F363">
        <v>1014</v>
      </c>
      <c r="G363" t="s">
        <v>124</v>
      </c>
      <c r="J363" t="s">
        <v>125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"20:21:05.008"</f>
        <v>20:21:05.008</v>
      </c>
      <c r="T363" t="str">
        <f>"20:21:04.508"</f>
        <v>20:21:04.508</v>
      </c>
      <c r="U363" t="str">
        <f t="shared" si="43"/>
        <v>AA0632</v>
      </c>
      <c r="V363">
        <v>0</v>
      </c>
      <c r="W363">
        <v>0</v>
      </c>
      <c r="X363">
        <v>2</v>
      </c>
      <c r="Y363">
        <v>0</v>
      </c>
      <c r="AA363">
        <v>0</v>
      </c>
      <c r="AB363">
        <v>9</v>
      </c>
      <c r="AC363">
        <v>3</v>
      </c>
      <c r="AD363">
        <v>0</v>
      </c>
      <c r="AE363">
        <v>10</v>
      </c>
      <c r="AF363" t="s">
        <v>126</v>
      </c>
      <c r="AG363">
        <v>0</v>
      </c>
      <c r="AH363">
        <v>0</v>
      </c>
      <c r="AI363">
        <v>2</v>
      </c>
      <c r="AJ363">
        <v>0</v>
      </c>
      <c r="AK363" t="s">
        <v>313</v>
      </c>
      <c r="AL363">
        <v>31.957941000000002</v>
      </c>
      <c r="AM363" t="s">
        <v>314</v>
      </c>
      <c r="AN363">
        <v>-101.12344299999999</v>
      </c>
      <c r="AQ363" t="s">
        <v>129</v>
      </c>
      <c r="AR363">
        <v>77</v>
      </c>
      <c r="AS363">
        <v>-41</v>
      </c>
      <c r="AT363">
        <v>-320</v>
      </c>
      <c r="BB363" t="str">
        <f t="shared" si="44"/>
        <v>1200</v>
      </c>
      <c r="BC363">
        <v>1</v>
      </c>
      <c r="BD363" t="str">
        <f t="shared" si="46"/>
        <v xml:space="preserve">N745MB  </v>
      </c>
      <c r="BE363">
        <v>1</v>
      </c>
      <c r="BG363">
        <v>0</v>
      </c>
      <c r="BH363">
        <v>0</v>
      </c>
      <c r="BI363">
        <v>0</v>
      </c>
      <c r="BL363" t="s">
        <v>130</v>
      </c>
      <c r="BM363">
        <v>1</v>
      </c>
      <c r="BN363">
        <v>0</v>
      </c>
      <c r="BO363">
        <v>0</v>
      </c>
      <c r="BP363">
        <v>0</v>
      </c>
      <c r="BT363">
        <v>0</v>
      </c>
      <c r="BU363">
        <v>0</v>
      </c>
      <c r="CE363" t="str">
        <f>"20:21:05.010"</f>
        <v>20:21:05.010</v>
      </c>
      <c r="CF363">
        <v>10126503</v>
      </c>
      <c r="CS363">
        <v>0</v>
      </c>
      <c r="CT363">
        <v>2</v>
      </c>
      <c r="CU363">
        <v>0</v>
      </c>
      <c r="CV363">
        <v>2</v>
      </c>
      <c r="CW363">
        <v>0</v>
      </c>
      <c r="CX363">
        <v>3</v>
      </c>
      <c r="CY363">
        <v>7</v>
      </c>
      <c r="CZ363" t="s">
        <v>131</v>
      </c>
      <c r="DA363">
        <v>116</v>
      </c>
      <c r="DB363">
        <v>3</v>
      </c>
      <c r="DC363" t="s">
        <v>132</v>
      </c>
      <c r="DD363" t="s">
        <v>133</v>
      </c>
      <c r="DG363">
        <v>8253375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1</v>
      </c>
      <c r="DQ363">
        <v>0</v>
      </c>
      <c r="DR363">
        <v>0</v>
      </c>
      <c r="DS363">
        <v>0</v>
      </c>
    </row>
    <row r="364" spans="1:123" x14ac:dyDescent="0.25">
      <c r="A364" t="str">
        <f>"11/29/2023 20:21:05.414"</f>
        <v>11/29/2023 20:21:05.414</v>
      </c>
      <c r="C364" t="str">
        <f t="shared" si="49"/>
        <v>FFDF53C0</v>
      </c>
      <c r="D364" t="s">
        <v>138</v>
      </c>
      <c r="E364">
        <v>3</v>
      </c>
      <c r="H364">
        <v>160</v>
      </c>
      <c r="I364" t="s">
        <v>124</v>
      </c>
      <c r="J364" t="s">
        <v>139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"20:21:05.008"</f>
        <v>20:21:05.008</v>
      </c>
      <c r="T364" t="str">
        <f>"20:21:04.508"</f>
        <v>20:21:04.508</v>
      </c>
      <c r="U364" t="str">
        <f t="shared" si="43"/>
        <v>AA0632</v>
      </c>
      <c r="V364">
        <v>0</v>
      </c>
      <c r="W364">
        <v>0</v>
      </c>
      <c r="X364">
        <v>2</v>
      </c>
      <c r="Y364">
        <v>0</v>
      </c>
      <c r="AA364">
        <v>0</v>
      </c>
      <c r="AB364">
        <v>9</v>
      </c>
      <c r="AC364">
        <v>3</v>
      </c>
      <c r="AD364">
        <v>0</v>
      </c>
      <c r="AE364">
        <v>10</v>
      </c>
      <c r="AF364" t="s">
        <v>126</v>
      </c>
      <c r="AG364">
        <v>0</v>
      </c>
      <c r="AH364">
        <v>0</v>
      </c>
      <c r="AI364">
        <v>2</v>
      </c>
      <c r="AJ364">
        <v>0</v>
      </c>
      <c r="AK364" t="s">
        <v>313</v>
      </c>
      <c r="AL364">
        <v>31.957941000000002</v>
      </c>
      <c r="AM364" t="s">
        <v>314</v>
      </c>
      <c r="AN364">
        <v>-101.12344299999999</v>
      </c>
      <c r="AQ364" t="s">
        <v>129</v>
      </c>
      <c r="AR364">
        <v>77</v>
      </c>
      <c r="AS364">
        <v>-41</v>
      </c>
      <c r="AT364">
        <v>-320</v>
      </c>
      <c r="BB364" t="str">
        <f t="shared" si="44"/>
        <v>1200</v>
      </c>
      <c r="BC364">
        <v>1</v>
      </c>
      <c r="BD364" t="str">
        <f t="shared" si="46"/>
        <v xml:space="preserve">N745MB  </v>
      </c>
      <c r="BE364">
        <v>1</v>
      </c>
      <c r="BG364">
        <v>0</v>
      </c>
      <c r="BH364">
        <v>0</v>
      </c>
      <c r="BI364">
        <v>0</v>
      </c>
      <c r="BL364" t="s">
        <v>130</v>
      </c>
      <c r="BM364">
        <v>1</v>
      </c>
      <c r="BN364">
        <v>0</v>
      </c>
      <c r="BO364">
        <v>0</v>
      </c>
      <c r="BP364">
        <v>0</v>
      </c>
      <c r="BT364">
        <v>0</v>
      </c>
      <c r="BU364">
        <v>0</v>
      </c>
      <c r="CE364" t="str">
        <f>"20:21:05.010"</f>
        <v>20:21:05.010</v>
      </c>
      <c r="CF364">
        <v>10126503</v>
      </c>
      <c r="CS364">
        <v>0</v>
      </c>
      <c r="CT364">
        <v>2</v>
      </c>
      <c r="CU364">
        <v>0</v>
      </c>
      <c r="CV364">
        <v>2</v>
      </c>
      <c r="CW364">
        <v>0</v>
      </c>
      <c r="CX364">
        <v>3</v>
      </c>
      <c r="CY364">
        <v>7</v>
      </c>
      <c r="CZ364" t="s">
        <v>131</v>
      </c>
      <c r="DA364">
        <v>116</v>
      </c>
      <c r="DB364">
        <v>3</v>
      </c>
      <c r="DC364" t="s">
        <v>132</v>
      </c>
      <c r="DD364" t="s">
        <v>133</v>
      </c>
      <c r="DG364">
        <v>8253375</v>
      </c>
      <c r="DI364">
        <v>0</v>
      </c>
      <c r="DJ364">
        <v>0</v>
      </c>
      <c r="DK364">
        <v>1</v>
      </c>
      <c r="DL364">
        <v>0</v>
      </c>
      <c r="DM364">
        <v>0</v>
      </c>
      <c r="DN364">
        <v>0</v>
      </c>
      <c r="DO364">
        <v>0</v>
      </c>
      <c r="DP364">
        <v>1</v>
      </c>
      <c r="DQ364">
        <v>0</v>
      </c>
      <c r="DR364">
        <v>0</v>
      </c>
      <c r="DS364">
        <v>0</v>
      </c>
    </row>
    <row r="365" spans="1:123" x14ac:dyDescent="0.25">
      <c r="A365" t="str">
        <f>"11/29/2023 20:21:05.414"</f>
        <v>11/29/2023 20:21:05.414</v>
      </c>
      <c r="C365" t="str">
        <f t="shared" si="49"/>
        <v>FFDF53C0</v>
      </c>
      <c r="D365" t="s">
        <v>135</v>
      </c>
      <c r="E365">
        <v>31</v>
      </c>
      <c r="H365">
        <v>285</v>
      </c>
      <c r="I365" t="s">
        <v>136</v>
      </c>
      <c r="J365" t="s">
        <v>137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"20:21:05.008"</f>
        <v>20:21:05.008</v>
      </c>
      <c r="T365" t="str">
        <f>"20:21:04.508"</f>
        <v>20:21:04.508</v>
      </c>
      <c r="U365" t="str">
        <f t="shared" si="43"/>
        <v>AA0632</v>
      </c>
      <c r="V365">
        <v>0</v>
      </c>
      <c r="W365">
        <v>0</v>
      </c>
      <c r="X365">
        <v>2</v>
      </c>
      <c r="Y365">
        <v>0</v>
      </c>
      <c r="AA365">
        <v>0</v>
      </c>
      <c r="AB365">
        <v>9</v>
      </c>
      <c r="AC365">
        <v>3</v>
      </c>
      <c r="AD365">
        <v>0</v>
      </c>
      <c r="AE365">
        <v>10</v>
      </c>
      <c r="AF365" t="s">
        <v>126</v>
      </c>
      <c r="AG365">
        <v>0</v>
      </c>
      <c r="AH365">
        <v>0</v>
      </c>
      <c r="AI365">
        <v>2</v>
      </c>
      <c r="AJ365">
        <v>0</v>
      </c>
      <c r="AK365" t="s">
        <v>313</v>
      </c>
      <c r="AL365">
        <v>31.957941000000002</v>
      </c>
      <c r="AM365" t="s">
        <v>314</v>
      </c>
      <c r="AN365">
        <v>-101.12344299999999</v>
      </c>
      <c r="AQ365" t="s">
        <v>129</v>
      </c>
      <c r="AR365">
        <v>77</v>
      </c>
      <c r="AS365">
        <v>-41</v>
      </c>
      <c r="AT365">
        <v>-320</v>
      </c>
      <c r="BB365" t="str">
        <f t="shared" si="44"/>
        <v>1200</v>
      </c>
      <c r="BC365">
        <v>1</v>
      </c>
      <c r="BD365" t="str">
        <f t="shared" si="46"/>
        <v xml:space="preserve">N745MB  </v>
      </c>
      <c r="BE365">
        <v>1</v>
      </c>
      <c r="BG365">
        <v>0</v>
      </c>
      <c r="BH365">
        <v>0</v>
      </c>
      <c r="BI365">
        <v>0</v>
      </c>
      <c r="BL365" t="s">
        <v>130</v>
      </c>
      <c r="BM365">
        <v>1</v>
      </c>
      <c r="BN365">
        <v>0</v>
      </c>
      <c r="BO365">
        <v>0</v>
      </c>
      <c r="BP365">
        <v>0</v>
      </c>
      <c r="BT365">
        <v>0</v>
      </c>
      <c r="BU365">
        <v>0</v>
      </c>
      <c r="CE365" t="str">
        <f>"20:21:05.010"</f>
        <v>20:21:05.010</v>
      </c>
      <c r="CF365">
        <v>10126503</v>
      </c>
      <c r="CS365">
        <v>0</v>
      </c>
      <c r="CT365">
        <v>2</v>
      </c>
      <c r="CU365">
        <v>0</v>
      </c>
      <c r="CV365">
        <v>2</v>
      </c>
      <c r="CW365">
        <v>0</v>
      </c>
      <c r="CX365">
        <v>3</v>
      </c>
      <c r="CY365">
        <v>7</v>
      </c>
      <c r="CZ365" t="s">
        <v>131</v>
      </c>
      <c r="DA365">
        <v>116</v>
      </c>
      <c r="DB365">
        <v>3</v>
      </c>
      <c r="DC365" t="s">
        <v>132</v>
      </c>
      <c r="DD365" t="s">
        <v>133</v>
      </c>
      <c r="DG365">
        <v>8253375</v>
      </c>
      <c r="DI365">
        <v>0</v>
      </c>
      <c r="DJ365">
        <v>0</v>
      </c>
      <c r="DK365">
        <v>1</v>
      </c>
      <c r="DL365">
        <v>0</v>
      </c>
      <c r="DM365">
        <v>0</v>
      </c>
      <c r="DN365">
        <v>0</v>
      </c>
      <c r="DO365">
        <v>0</v>
      </c>
      <c r="DP365">
        <v>1</v>
      </c>
      <c r="DQ365">
        <v>0</v>
      </c>
      <c r="DR365">
        <v>0</v>
      </c>
      <c r="DS365">
        <v>0</v>
      </c>
    </row>
    <row r="366" spans="1:123" x14ac:dyDescent="0.25">
      <c r="A366" t="str">
        <f>"11/29/2023 20:21:05.414"</f>
        <v>11/29/2023 20:21:05.414</v>
      </c>
      <c r="C366" t="str">
        <f t="shared" si="49"/>
        <v>FFDF53C0</v>
      </c>
      <c r="D366" t="s">
        <v>123</v>
      </c>
      <c r="E366">
        <v>1</v>
      </c>
      <c r="F366">
        <v>1001</v>
      </c>
      <c r="G366" t="s">
        <v>134</v>
      </c>
      <c r="J366" t="s">
        <v>125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"20:21:05.008"</f>
        <v>20:21:05.008</v>
      </c>
      <c r="T366" t="str">
        <f>"20:21:04.508"</f>
        <v>20:21:04.508</v>
      </c>
      <c r="U366" t="str">
        <f t="shared" si="43"/>
        <v>AA0632</v>
      </c>
      <c r="V366">
        <v>0</v>
      </c>
      <c r="W366">
        <v>0</v>
      </c>
      <c r="X366">
        <v>2</v>
      </c>
      <c r="Y366">
        <v>0</v>
      </c>
      <c r="AA366">
        <v>0</v>
      </c>
      <c r="AB366">
        <v>9</v>
      </c>
      <c r="AC366">
        <v>3</v>
      </c>
      <c r="AD366">
        <v>0</v>
      </c>
      <c r="AE366">
        <v>10</v>
      </c>
      <c r="AF366" t="s">
        <v>126</v>
      </c>
      <c r="AG366">
        <v>0</v>
      </c>
      <c r="AH366">
        <v>0</v>
      </c>
      <c r="AI366">
        <v>2</v>
      </c>
      <c r="AJ366">
        <v>0</v>
      </c>
      <c r="AK366" t="s">
        <v>313</v>
      </c>
      <c r="AL366">
        <v>31.957941000000002</v>
      </c>
      <c r="AM366" t="s">
        <v>314</v>
      </c>
      <c r="AN366">
        <v>-101.12344299999999</v>
      </c>
      <c r="AQ366" t="s">
        <v>129</v>
      </c>
      <c r="AR366">
        <v>77</v>
      </c>
      <c r="AS366">
        <v>-41</v>
      </c>
      <c r="AT366">
        <v>-320</v>
      </c>
      <c r="BB366" t="str">
        <f t="shared" si="44"/>
        <v>1200</v>
      </c>
      <c r="BC366">
        <v>1</v>
      </c>
      <c r="BD366" t="str">
        <f t="shared" si="46"/>
        <v xml:space="preserve">N745MB  </v>
      </c>
      <c r="BE366">
        <v>1</v>
      </c>
      <c r="BG366">
        <v>0</v>
      </c>
      <c r="BH366">
        <v>0</v>
      </c>
      <c r="BI366">
        <v>0</v>
      </c>
      <c r="BL366" t="s">
        <v>130</v>
      </c>
      <c r="BM366">
        <v>1</v>
      </c>
      <c r="BN366">
        <v>0</v>
      </c>
      <c r="BO366">
        <v>0</v>
      </c>
      <c r="BP366">
        <v>0</v>
      </c>
      <c r="BT366">
        <v>0</v>
      </c>
      <c r="BU366">
        <v>0</v>
      </c>
      <c r="CE366" t="str">
        <f>"20:21:05.010"</f>
        <v>20:21:05.010</v>
      </c>
      <c r="CF366">
        <v>10126503</v>
      </c>
      <c r="CS366">
        <v>0</v>
      </c>
      <c r="CT366">
        <v>2</v>
      </c>
      <c r="CU366">
        <v>0</v>
      </c>
      <c r="CV366">
        <v>2</v>
      </c>
      <c r="CW366">
        <v>0</v>
      </c>
      <c r="CX366">
        <v>3</v>
      </c>
      <c r="CY366">
        <v>7</v>
      </c>
      <c r="CZ366" t="s">
        <v>131</v>
      </c>
      <c r="DA366">
        <v>116</v>
      </c>
      <c r="DB366">
        <v>3</v>
      </c>
      <c r="DC366" t="s">
        <v>132</v>
      </c>
      <c r="DD366" t="s">
        <v>133</v>
      </c>
      <c r="DG366">
        <v>8253375</v>
      </c>
      <c r="DI366">
        <v>0</v>
      </c>
      <c r="DJ366">
        <v>0</v>
      </c>
      <c r="DK366">
        <v>1</v>
      </c>
      <c r="DL366">
        <v>0</v>
      </c>
      <c r="DM366">
        <v>0</v>
      </c>
      <c r="DN366">
        <v>0</v>
      </c>
      <c r="DO366">
        <v>0</v>
      </c>
      <c r="DP366">
        <v>1</v>
      </c>
      <c r="DQ366">
        <v>0</v>
      </c>
      <c r="DR366">
        <v>0</v>
      </c>
      <c r="DS366">
        <v>0</v>
      </c>
    </row>
    <row r="367" spans="1:123" x14ac:dyDescent="0.25">
      <c r="A367" t="str">
        <f>"11/29/2023 20:21:06.305"</f>
        <v>11/29/2023 20:21:06.305</v>
      </c>
      <c r="C367" t="str">
        <f t="shared" si="49"/>
        <v>FFDF53C0</v>
      </c>
      <c r="D367" t="s">
        <v>138</v>
      </c>
      <c r="E367">
        <v>3</v>
      </c>
      <c r="H367">
        <v>160</v>
      </c>
      <c r="I367" t="s">
        <v>124</v>
      </c>
      <c r="J367" t="s">
        <v>139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"20:21:05.992"</f>
        <v>20:21:05.992</v>
      </c>
      <c r="T367" t="str">
        <f>"20:21:05.692"</f>
        <v>20:21:05.692</v>
      </c>
      <c r="U367" t="str">
        <f t="shared" si="43"/>
        <v>AA0632</v>
      </c>
      <c r="V367">
        <v>0</v>
      </c>
      <c r="W367">
        <v>0</v>
      </c>
      <c r="X367">
        <v>2</v>
      </c>
      <c r="Y367">
        <v>0</v>
      </c>
      <c r="AA367">
        <v>0</v>
      </c>
      <c r="AB367">
        <v>9</v>
      </c>
      <c r="AC367">
        <v>3</v>
      </c>
      <c r="AD367">
        <v>0</v>
      </c>
      <c r="AE367">
        <v>10</v>
      </c>
      <c r="AF367" t="s">
        <v>126</v>
      </c>
      <c r="AG367">
        <v>0</v>
      </c>
      <c r="AH367">
        <v>0</v>
      </c>
      <c r="AI367">
        <v>2</v>
      </c>
      <c r="AJ367">
        <v>0</v>
      </c>
      <c r="AK367" t="s">
        <v>315</v>
      </c>
      <c r="AL367">
        <v>31.957791</v>
      </c>
      <c r="AM367" t="s">
        <v>316</v>
      </c>
      <c r="AN367">
        <v>-101.123035</v>
      </c>
      <c r="AQ367" t="s">
        <v>129</v>
      </c>
      <c r="AR367">
        <v>77</v>
      </c>
      <c r="AS367">
        <v>-41</v>
      </c>
      <c r="AT367">
        <v>-192</v>
      </c>
      <c r="BB367" t="str">
        <f t="shared" si="44"/>
        <v>1200</v>
      </c>
      <c r="BC367">
        <v>1</v>
      </c>
      <c r="BD367" t="str">
        <f t="shared" si="46"/>
        <v xml:space="preserve">N745MB  </v>
      </c>
      <c r="BE367">
        <v>1</v>
      </c>
      <c r="BG367">
        <v>0</v>
      </c>
      <c r="BH367">
        <v>0</v>
      </c>
      <c r="BI367">
        <v>0</v>
      </c>
      <c r="BL367" t="s">
        <v>130</v>
      </c>
      <c r="BM367">
        <v>1</v>
      </c>
      <c r="BN367">
        <v>0</v>
      </c>
      <c r="BO367">
        <v>0</v>
      </c>
      <c r="BP367">
        <v>0</v>
      </c>
      <c r="BT367">
        <v>0</v>
      </c>
      <c r="BU367">
        <v>0</v>
      </c>
      <c r="CE367" t="str">
        <f>"20:21:05.996"</f>
        <v>20:21:05.996</v>
      </c>
      <c r="CF367">
        <v>996070700</v>
      </c>
      <c r="CS367">
        <v>0</v>
      </c>
      <c r="CT367">
        <v>2</v>
      </c>
      <c r="CU367">
        <v>0</v>
      </c>
      <c r="CV367">
        <v>2</v>
      </c>
      <c r="CW367">
        <v>0</v>
      </c>
      <c r="CX367">
        <v>4</v>
      </c>
      <c r="CY367">
        <v>7</v>
      </c>
      <c r="CZ367" t="s">
        <v>131</v>
      </c>
      <c r="DA367">
        <v>116</v>
      </c>
      <c r="DB367">
        <v>3</v>
      </c>
      <c r="DC367" t="s">
        <v>132</v>
      </c>
      <c r="DD367" t="s">
        <v>133</v>
      </c>
      <c r="DG367">
        <v>8253942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1</v>
      </c>
      <c r="DQ367">
        <v>0</v>
      </c>
      <c r="DR367">
        <v>0</v>
      </c>
      <c r="DS367">
        <v>0</v>
      </c>
    </row>
    <row r="368" spans="1:123" x14ac:dyDescent="0.25">
      <c r="A368" t="str">
        <f>"11/29/2023 20:21:06.305"</f>
        <v>11/29/2023 20:21:06.305</v>
      </c>
      <c r="C368" t="str">
        <f t="shared" si="49"/>
        <v>FFDF53C0</v>
      </c>
      <c r="D368" t="s">
        <v>135</v>
      </c>
      <c r="E368">
        <v>31</v>
      </c>
      <c r="H368">
        <v>285</v>
      </c>
      <c r="I368" t="s">
        <v>136</v>
      </c>
      <c r="J368" t="s">
        <v>137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"20:21:05.992"</f>
        <v>20:21:05.992</v>
      </c>
      <c r="T368" t="str">
        <f>"20:21:05.692"</f>
        <v>20:21:05.692</v>
      </c>
      <c r="U368" t="str">
        <f t="shared" si="43"/>
        <v>AA0632</v>
      </c>
      <c r="V368">
        <v>0</v>
      </c>
      <c r="W368">
        <v>0</v>
      </c>
      <c r="X368">
        <v>2</v>
      </c>
      <c r="Y368">
        <v>0</v>
      </c>
      <c r="AA368">
        <v>0</v>
      </c>
      <c r="AB368">
        <v>9</v>
      </c>
      <c r="AC368">
        <v>3</v>
      </c>
      <c r="AD368">
        <v>0</v>
      </c>
      <c r="AE368">
        <v>10</v>
      </c>
      <c r="AF368" t="s">
        <v>126</v>
      </c>
      <c r="AG368">
        <v>0</v>
      </c>
      <c r="AH368">
        <v>0</v>
      </c>
      <c r="AI368">
        <v>2</v>
      </c>
      <c r="AJ368">
        <v>0</v>
      </c>
      <c r="AK368" t="s">
        <v>315</v>
      </c>
      <c r="AL368">
        <v>31.957791</v>
      </c>
      <c r="AM368" t="s">
        <v>316</v>
      </c>
      <c r="AN368">
        <v>-101.123035</v>
      </c>
      <c r="AQ368" t="s">
        <v>129</v>
      </c>
      <c r="AR368">
        <v>77</v>
      </c>
      <c r="AS368">
        <v>-41</v>
      </c>
      <c r="AT368">
        <v>-192</v>
      </c>
      <c r="BB368" t="str">
        <f t="shared" si="44"/>
        <v>1200</v>
      </c>
      <c r="BC368">
        <v>1</v>
      </c>
      <c r="BD368" t="str">
        <f t="shared" si="46"/>
        <v xml:space="preserve">N745MB  </v>
      </c>
      <c r="BE368">
        <v>1</v>
      </c>
      <c r="BG368">
        <v>0</v>
      </c>
      <c r="BH368">
        <v>0</v>
      </c>
      <c r="BI368">
        <v>0</v>
      </c>
      <c r="BL368" t="s">
        <v>130</v>
      </c>
      <c r="BM368">
        <v>1</v>
      </c>
      <c r="BN368">
        <v>0</v>
      </c>
      <c r="BO368">
        <v>0</v>
      </c>
      <c r="BP368">
        <v>0</v>
      </c>
      <c r="BT368">
        <v>0</v>
      </c>
      <c r="BU368">
        <v>0</v>
      </c>
      <c r="CE368" t="str">
        <f>"20:21:05.996"</f>
        <v>20:21:05.996</v>
      </c>
      <c r="CF368">
        <v>996070700</v>
      </c>
      <c r="CS368">
        <v>0</v>
      </c>
      <c r="CT368">
        <v>2</v>
      </c>
      <c r="CU368">
        <v>0</v>
      </c>
      <c r="CV368">
        <v>2</v>
      </c>
      <c r="CW368">
        <v>0</v>
      </c>
      <c r="CX368">
        <v>4</v>
      </c>
      <c r="CY368">
        <v>7</v>
      </c>
      <c r="CZ368" t="s">
        <v>131</v>
      </c>
      <c r="DA368">
        <v>116</v>
      </c>
      <c r="DB368">
        <v>3</v>
      </c>
      <c r="DC368" t="s">
        <v>132</v>
      </c>
      <c r="DD368" t="s">
        <v>133</v>
      </c>
      <c r="DG368">
        <v>8253942</v>
      </c>
      <c r="DI368">
        <v>0</v>
      </c>
      <c r="DJ368">
        <v>0</v>
      </c>
      <c r="DK368">
        <v>1</v>
      </c>
      <c r="DL368">
        <v>0</v>
      </c>
      <c r="DM368">
        <v>0</v>
      </c>
      <c r="DN368">
        <v>0</v>
      </c>
      <c r="DO368">
        <v>0</v>
      </c>
      <c r="DP368">
        <v>1</v>
      </c>
      <c r="DQ368">
        <v>0</v>
      </c>
      <c r="DR368">
        <v>0</v>
      </c>
      <c r="DS368">
        <v>0</v>
      </c>
    </row>
    <row r="369" spans="1:123" x14ac:dyDescent="0.25">
      <c r="A369" t="str">
        <f>"11/29/2023 20:21:06.305"</f>
        <v>11/29/2023 20:21:06.305</v>
      </c>
      <c r="C369" t="str">
        <f t="shared" si="49"/>
        <v>FFDF53C0</v>
      </c>
      <c r="D369" t="s">
        <v>123</v>
      </c>
      <c r="E369">
        <v>1</v>
      </c>
      <c r="F369">
        <v>1001</v>
      </c>
      <c r="G369" t="s">
        <v>134</v>
      </c>
      <c r="J369" t="s">
        <v>125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"20:21:05.992"</f>
        <v>20:21:05.992</v>
      </c>
      <c r="T369" t="str">
        <f>"20:21:05.692"</f>
        <v>20:21:05.692</v>
      </c>
      <c r="U369" t="str">
        <f t="shared" si="43"/>
        <v>AA0632</v>
      </c>
      <c r="V369">
        <v>0</v>
      </c>
      <c r="W369">
        <v>0</v>
      </c>
      <c r="X369">
        <v>2</v>
      </c>
      <c r="Y369">
        <v>0</v>
      </c>
      <c r="AA369">
        <v>0</v>
      </c>
      <c r="AB369">
        <v>9</v>
      </c>
      <c r="AC369">
        <v>3</v>
      </c>
      <c r="AD369">
        <v>0</v>
      </c>
      <c r="AE369">
        <v>10</v>
      </c>
      <c r="AF369" t="s">
        <v>126</v>
      </c>
      <c r="AG369">
        <v>0</v>
      </c>
      <c r="AH369">
        <v>0</v>
      </c>
      <c r="AI369">
        <v>2</v>
      </c>
      <c r="AJ369">
        <v>0</v>
      </c>
      <c r="AK369" t="s">
        <v>315</v>
      </c>
      <c r="AL369">
        <v>31.957791</v>
      </c>
      <c r="AM369" t="s">
        <v>316</v>
      </c>
      <c r="AN369">
        <v>-101.123035</v>
      </c>
      <c r="AQ369" t="s">
        <v>129</v>
      </c>
      <c r="AR369">
        <v>77</v>
      </c>
      <c r="AS369">
        <v>-41</v>
      </c>
      <c r="AT369">
        <v>-192</v>
      </c>
      <c r="BB369" t="str">
        <f t="shared" si="44"/>
        <v>1200</v>
      </c>
      <c r="BC369">
        <v>1</v>
      </c>
      <c r="BD369" t="str">
        <f t="shared" si="46"/>
        <v xml:space="preserve">N745MB  </v>
      </c>
      <c r="BE369">
        <v>1</v>
      </c>
      <c r="BG369">
        <v>0</v>
      </c>
      <c r="BH369">
        <v>0</v>
      </c>
      <c r="BI369">
        <v>0</v>
      </c>
      <c r="BL369" t="s">
        <v>130</v>
      </c>
      <c r="BM369">
        <v>1</v>
      </c>
      <c r="BN369">
        <v>0</v>
      </c>
      <c r="BO369">
        <v>0</v>
      </c>
      <c r="BP369">
        <v>0</v>
      </c>
      <c r="BT369">
        <v>0</v>
      </c>
      <c r="BU369">
        <v>0</v>
      </c>
      <c r="CE369" t="str">
        <f>"20:21:05.996"</f>
        <v>20:21:05.996</v>
      </c>
      <c r="CF369">
        <v>996070700</v>
      </c>
      <c r="CS369">
        <v>0</v>
      </c>
      <c r="CT369">
        <v>2</v>
      </c>
      <c r="CU369">
        <v>0</v>
      </c>
      <c r="CV369">
        <v>2</v>
      </c>
      <c r="CW369">
        <v>0</v>
      </c>
      <c r="CX369">
        <v>4</v>
      </c>
      <c r="CY369">
        <v>7</v>
      </c>
      <c r="CZ369" t="s">
        <v>131</v>
      </c>
      <c r="DA369">
        <v>116</v>
      </c>
      <c r="DB369">
        <v>3</v>
      </c>
      <c r="DC369" t="s">
        <v>132</v>
      </c>
      <c r="DD369" t="s">
        <v>133</v>
      </c>
      <c r="DG369">
        <v>8253942</v>
      </c>
      <c r="DI369">
        <v>0</v>
      </c>
      <c r="DJ369">
        <v>0</v>
      </c>
      <c r="DK369">
        <v>1</v>
      </c>
      <c r="DL369">
        <v>0</v>
      </c>
      <c r="DM369">
        <v>0</v>
      </c>
      <c r="DN369">
        <v>0</v>
      </c>
      <c r="DO369">
        <v>0</v>
      </c>
      <c r="DP369">
        <v>1</v>
      </c>
      <c r="DQ369">
        <v>0</v>
      </c>
      <c r="DR369">
        <v>0</v>
      </c>
      <c r="DS369">
        <v>0</v>
      </c>
    </row>
    <row r="370" spans="1:123" x14ac:dyDescent="0.25">
      <c r="A370" t="str">
        <f>"11/29/2023 20:21:06.305"</f>
        <v>11/29/2023 20:21:06.305</v>
      </c>
      <c r="C370" t="str">
        <f t="shared" si="49"/>
        <v>FFDF53C0</v>
      </c>
      <c r="D370" t="s">
        <v>123</v>
      </c>
      <c r="E370">
        <v>14</v>
      </c>
      <c r="F370">
        <v>1014</v>
      </c>
      <c r="G370" t="s">
        <v>124</v>
      </c>
      <c r="J370" t="s">
        <v>125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"20:21:05.992"</f>
        <v>20:21:05.992</v>
      </c>
      <c r="T370" t="str">
        <f>"20:21:05.692"</f>
        <v>20:21:05.692</v>
      </c>
      <c r="U370" t="str">
        <f t="shared" si="43"/>
        <v>AA0632</v>
      </c>
      <c r="V370">
        <v>0</v>
      </c>
      <c r="W370">
        <v>0</v>
      </c>
      <c r="X370">
        <v>2</v>
      </c>
      <c r="Y370">
        <v>0</v>
      </c>
      <c r="AA370">
        <v>0</v>
      </c>
      <c r="AB370">
        <v>9</v>
      </c>
      <c r="AC370">
        <v>3</v>
      </c>
      <c r="AD370">
        <v>0</v>
      </c>
      <c r="AE370">
        <v>10</v>
      </c>
      <c r="AF370" t="s">
        <v>126</v>
      </c>
      <c r="AG370">
        <v>0</v>
      </c>
      <c r="AH370">
        <v>0</v>
      </c>
      <c r="AI370">
        <v>2</v>
      </c>
      <c r="AJ370">
        <v>0</v>
      </c>
      <c r="AK370" t="s">
        <v>315</v>
      </c>
      <c r="AL370">
        <v>31.957791</v>
      </c>
      <c r="AM370" t="s">
        <v>316</v>
      </c>
      <c r="AN370">
        <v>-101.123035</v>
      </c>
      <c r="AQ370" t="s">
        <v>129</v>
      </c>
      <c r="AR370">
        <v>77</v>
      </c>
      <c r="AS370">
        <v>-41</v>
      </c>
      <c r="AT370">
        <v>-192</v>
      </c>
      <c r="BB370" t="str">
        <f t="shared" si="44"/>
        <v>1200</v>
      </c>
      <c r="BC370">
        <v>1</v>
      </c>
      <c r="BD370" t="str">
        <f t="shared" si="46"/>
        <v xml:space="preserve">N745MB  </v>
      </c>
      <c r="BE370">
        <v>1</v>
      </c>
      <c r="BG370">
        <v>0</v>
      </c>
      <c r="BH370">
        <v>0</v>
      </c>
      <c r="BI370">
        <v>0</v>
      </c>
      <c r="BL370" t="s">
        <v>130</v>
      </c>
      <c r="BM370">
        <v>1</v>
      </c>
      <c r="BN370">
        <v>0</v>
      </c>
      <c r="BO370">
        <v>0</v>
      </c>
      <c r="BP370">
        <v>0</v>
      </c>
      <c r="BT370">
        <v>0</v>
      </c>
      <c r="BU370">
        <v>0</v>
      </c>
      <c r="CE370" t="str">
        <f>"20:21:05.996"</f>
        <v>20:21:05.996</v>
      </c>
      <c r="CF370">
        <v>996070700</v>
      </c>
      <c r="CS370">
        <v>0</v>
      </c>
      <c r="CT370">
        <v>2</v>
      </c>
      <c r="CU370">
        <v>0</v>
      </c>
      <c r="CV370">
        <v>2</v>
      </c>
      <c r="CW370">
        <v>0</v>
      </c>
      <c r="CX370">
        <v>4</v>
      </c>
      <c r="CY370">
        <v>7</v>
      </c>
      <c r="CZ370" t="s">
        <v>131</v>
      </c>
      <c r="DA370">
        <v>116</v>
      </c>
      <c r="DB370">
        <v>3</v>
      </c>
      <c r="DC370" t="s">
        <v>132</v>
      </c>
      <c r="DD370" t="s">
        <v>133</v>
      </c>
      <c r="DG370">
        <v>8253942</v>
      </c>
      <c r="DI370">
        <v>0</v>
      </c>
      <c r="DJ370">
        <v>0</v>
      </c>
      <c r="DK370">
        <v>1</v>
      </c>
      <c r="DL370">
        <v>0</v>
      </c>
      <c r="DM370">
        <v>0</v>
      </c>
      <c r="DN370">
        <v>0</v>
      </c>
      <c r="DO370">
        <v>0</v>
      </c>
      <c r="DP370">
        <v>1</v>
      </c>
      <c r="DQ370">
        <v>0</v>
      </c>
      <c r="DR370">
        <v>0</v>
      </c>
      <c r="DS370">
        <v>0</v>
      </c>
    </row>
    <row r="371" spans="1:123" x14ac:dyDescent="0.25">
      <c r="A371" t="str">
        <f>"11/29/2023 20:21:07.430"</f>
        <v>11/29/2023 20:21:07.430</v>
      </c>
      <c r="C371" t="str">
        <f t="shared" si="49"/>
        <v>FFDF53C0</v>
      </c>
      <c r="D371" t="s">
        <v>123</v>
      </c>
      <c r="E371">
        <v>14</v>
      </c>
      <c r="F371">
        <v>1014</v>
      </c>
      <c r="G371" t="s">
        <v>124</v>
      </c>
      <c r="J371" t="s">
        <v>125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"20:21:07.008"</f>
        <v>20:21:07.008</v>
      </c>
      <c r="T371" t="str">
        <f>"20:21:06.208"</f>
        <v>20:21:06.208</v>
      </c>
      <c r="U371" t="str">
        <f t="shared" si="43"/>
        <v>AA0632</v>
      </c>
      <c r="V371">
        <v>0</v>
      </c>
      <c r="W371">
        <v>0</v>
      </c>
      <c r="X371">
        <v>2</v>
      </c>
      <c r="Y371">
        <v>0</v>
      </c>
      <c r="AA371">
        <v>0</v>
      </c>
      <c r="AB371">
        <v>9</v>
      </c>
      <c r="AC371">
        <v>3</v>
      </c>
      <c r="AD371">
        <v>0</v>
      </c>
      <c r="AE371">
        <v>10</v>
      </c>
      <c r="AF371" t="s">
        <v>126</v>
      </c>
      <c r="AG371">
        <v>0</v>
      </c>
      <c r="AH371">
        <v>0</v>
      </c>
      <c r="AI371">
        <v>2</v>
      </c>
      <c r="AJ371">
        <v>0</v>
      </c>
      <c r="AK371" t="s">
        <v>317</v>
      </c>
      <c r="AL371">
        <v>31.957576</v>
      </c>
      <c r="AM371" t="s">
        <v>318</v>
      </c>
      <c r="AN371">
        <v>-101.122606</v>
      </c>
      <c r="AQ371" t="s">
        <v>129</v>
      </c>
      <c r="AR371">
        <v>77</v>
      </c>
      <c r="AS371">
        <v>-41</v>
      </c>
      <c r="AT371">
        <v>-192</v>
      </c>
      <c r="BB371" t="str">
        <f t="shared" si="44"/>
        <v>1200</v>
      </c>
      <c r="BC371">
        <v>1</v>
      </c>
      <c r="BD371" t="str">
        <f t="shared" si="46"/>
        <v xml:space="preserve">N745MB  </v>
      </c>
      <c r="BE371">
        <v>1</v>
      </c>
      <c r="BG371">
        <v>0</v>
      </c>
      <c r="BH371">
        <v>0</v>
      </c>
      <c r="BI371">
        <v>0</v>
      </c>
      <c r="BL371" t="s">
        <v>130</v>
      </c>
      <c r="BM371">
        <v>1</v>
      </c>
      <c r="BN371">
        <v>0</v>
      </c>
      <c r="BO371">
        <v>0</v>
      </c>
      <c r="BP371">
        <v>0</v>
      </c>
      <c r="BT371">
        <v>0</v>
      </c>
      <c r="BU371">
        <v>0</v>
      </c>
      <c r="CE371" t="str">
        <f>"20:21:07.008"</f>
        <v>20:21:07.008</v>
      </c>
      <c r="CF371">
        <v>7990824</v>
      </c>
      <c r="CS371">
        <v>0</v>
      </c>
      <c r="CT371">
        <v>2</v>
      </c>
      <c r="CU371">
        <v>0</v>
      </c>
      <c r="CV371">
        <v>2</v>
      </c>
      <c r="CW371">
        <v>0</v>
      </c>
      <c r="CX371">
        <v>2</v>
      </c>
      <c r="CY371">
        <v>7</v>
      </c>
      <c r="CZ371" t="s">
        <v>131</v>
      </c>
      <c r="DA371">
        <v>116</v>
      </c>
      <c r="DB371">
        <v>3</v>
      </c>
      <c r="DC371" t="s">
        <v>132</v>
      </c>
      <c r="DD371" t="s">
        <v>133</v>
      </c>
      <c r="DG371">
        <v>8254488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1</v>
      </c>
      <c r="DQ371">
        <v>0</v>
      </c>
      <c r="DR371">
        <v>0</v>
      </c>
      <c r="DS371">
        <v>0</v>
      </c>
    </row>
    <row r="372" spans="1:123" x14ac:dyDescent="0.25">
      <c r="A372" t="str">
        <f>"11/29/2023 20:21:07.430"</f>
        <v>11/29/2023 20:21:07.430</v>
      </c>
      <c r="C372" t="str">
        <f t="shared" si="49"/>
        <v>FFDF53C0</v>
      </c>
      <c r="D372" t="s">
        <v>138</v>
      </c>
      <c r="E372">
        <v>3</v>
      </c>
      <c r="H372">
        <v>160</v>
      </c>
      <c r="I372" t="s">
        <v>124</v>
      </c>
      <c r="J372" t="s">
        <v>139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"20:21:07.008"</f>
        <v>20:21:07.008</v>
      </c>
      <c r="T372" t="str">
        <f>"20:21:06.208"</f>
        <v>20:21:06.208</v>
      </c>
      <c r="U372" t="str">
        <f t="shared" si="43"/>
        <v>AA0632</v>
      </c>
      <c r="V372">
        <v>0</v>
      </c>
      <c r="W372">
        <v>0</v>
      </c>
      <c r="X372">
        <v>2</v>
      </c>
      <c r="Y372">
        <v>0</v>
      </c>
      <c r="AA372">
        <v>0</v>
      </c>
      <c r="AB372">
        <v>9</v>
      </c>
      <c r="AC372">
        <v>3</v>
      </c>
      <c r="AD372">
        <v>0</v>
      </c>
      <c r="AE372">
        <v>10</v>
      </c>
      <c r="AF372" t="s">
        <v>126</v>
      </c>
      <c r="AG372">
        <v>0</v>
      </c>
      <c r="AH372">
        <v>0</v>
      </c>
      <c r="AI372">
        <v>2</v>
      </c>
      <c r="AJ372">
        <v>0</v>
      </c>
      <c r="AK372" t="s">
        <v>317</v>
      </c>
      <c r="AL372">
        <v>31.957576</v>
      </c>
      <c r="AM372" t="s">
        <v>318</v>
      </c>
      <c r="AN372">
        <v>-101.122606</v>
      </c>
      <c r="AQ372" t="s">
        <v>129</v>
      </c>
      <c r="AR372">
        <v>77</v>
      </c>
      <c r="AS372">
        <v>-41</v>
      </c>
      <c r="AT372">
        <v>-192</v>
      </c>
      <c r="BB372" t="str">
        <f t="shared" si="44"/>
        <v>1200</v>
      </c>
      <c r="BC372">
        <v>1</v>
      </c>
      <c r="BD372" t="str">
        <f t="shared" si="46"/>
        <v xml:space="preserve">N745MB  </v>
      </c>
      <c r="BE372">
        <v>1</v>
      </c>
      <c r="BG372">
        <v>0</v>
      </c>
      <c r="BH372">
        <v>0</v>
      </c>
      <c r="BI372">
        <v>0</v>
      </c>
      <c r="BL372" t="s">
        <v>130</v>
      </c>
      <c r="BM372">
        <v>1</v>
      </c>
      <c r="BN372">
        <v>0</v>
      </c>
      <c r="BO372">
        <v>0</v>
      </c>
      <c r="BP372">
        <v>0</v>
      </c>
      <c r="BT372">
        <v>0</v>
      </c>
      <c r="BU372">
        <v>0</v>
      </c>
      <c r="CE372" t="str">
        <f>"20:21:07.008"</f>
        <v>20:21:07.008</v>
      </c>
      <c r="CF372">
        <v>7990824</v>
      </c>
      <c r="CS372">
        <v>0</v>
      </c>
      <c r="CT372">
        <v>2</v>
      </c>
      <c r="CU372">
        <v>0</v>
      </c>
      <c r="CV372">
        <v>2</v>
      </c>
      <c r="CW372">
        <v>0</v>
      </c>
      <c r="CX372">
        <v>2</v>
      </c>
      <c r="CY372">
        <v>7</v>
      </c>
      <c r="CZ372" t="s">
        <v>131</v>
      </c>
      <c r="DA372">
        <v>116</v>
      </c>
      <c r="DB372">
        <v>3</v>
      </c>
      <c r="DC372" t="s">
        <v>132</v>
      </c>
      <c r="DD372" t="s">
        <v>133</v>
      </c>
      <c r="DG372">
        <v>8254488</v>
      </c>
      <c r="DI372">
        <v>0</v>
      </c>
      <c r="DJ372">
        <v>0</v>
      </c>
      <c r="DK372">
        <v>1</v>
      </c>
      <c r="DL372">
        <v>0</v>
      </c>
      <c r="DM372">
        <v>0</v>
      </c>
      <c r="DN372">
        <v>0</v>
      </c>
      <c r="DO372">
        <v>0</v>
      </c>
      <c r="DP372">
        <v>1</v>
      </c>
      <c r="DQ372">
        <v>0</v>
      </c>
      <c r="DR372">
        <v>0</v>
      </c>
      <c r="DS372">
        <v>0</v>
      </c>
    </row>
    <row r="373" spans="1:123" x14ac:dyDescent="0.25">
      <c r="A373" t="str">
        <f>"11/29/2023 20:21:07.430"</f>
        <v>11/29/2023 20:21:07.430</v>
      </c>
      <c r="C373" t="str">
        <f t="shared" si="49"/>
        <v>FFDF53C0</v>
      </c>
      <c r="D373" t="s">
        <v>135</v>
      </c>
      <c r="E373">
        <v>31</v>
      </c>
      <c r="H373">
        <v>285</v>
      </c>
      <c r="I373" t="s">
        <v>136</v>
      </c>
      <c r="J373" t="s">
        <v>137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"20:21:07.008"</f>
        <v>20:21:07.008</v>
      </c>
      <c r="T373" t="str">
        <f>"20:21:06.208"</f>
        <v>20:21:06.208</v>
      </c>
      <c r="U373" t="str">
        <f t="shared" si="43"/>
        <v>AA0632</v>
      </c>
      <c r="V373">
        <v>0</v>
      </c>
      <c r="W373">
        <v>0</v>
      </c>
      <c r="X373">
        <v>2</v>
      </c>
      <c r="Y373">
        <v>0</v>
      </c>
      <c r="AA373">
        <v>0</v>
      </c>
      <c r="AB373">
        <v>9</v>
      </c>
      <c r="AC373">
        <v>3</v>
      </c>
      <c r="AD373">
        <v>0</v>
      </c>
      <c r="AE373">
        <v>10</v>
      </c>
      <c r="AF373" t="s">
        <v>126</v>
      </c>
      <c r="AG373">
        <v>0</v>
      </c>
      <c r="AH373">
        <v>0</v>
      </c>
      <c r="AI373">
        <v>2</v>
      </c>
      <c r="AJ373">
        <v>0</v>
      </c>
      <c r="AK373" t="s">
        <v>317</v>
      </c>
      <c r="AL373">
        <v>31.957576</v>
      </c>
      <c r="AM373" t="s">
        <v>318</v>
      </c>
      <c r="AN373">
        <v>-101.122606</v>
      </c>
      <c r="AQ373" t="s">
        <v>129</v>
      </c>
      <c r="AR373">
        <v>77</v>
      </c>
      <c r="AS373">
        <v>-41</v>
      </c>
      <c r="AT373">
        <v>-192</v>
      </c>
      <c r="BB373" t="str">
        <f t="shared" si="44"/>
        <v>1200</v>
      </c>
      <c r="BC373">
        <v>1</v>
      </c>
      <c r="BD373" t="str">
        <f t="shared" si="46"/>
        <v xml:space="preserve">N745MB  </v>
      </c>
      <c r="BE373">
        <v>1</v>
      </c>
      <c r="BG373">
        <v>0</v>
      </c>
      <c r="BH373">
        <v>0</v>
      </c>
      <c r="BI373">
        <v>0</v>
      </c>
      <c r="BL373" t="s">
        <v>130</v>
      </c>
      <c r="BM373">
        <v>1</v>
      </c>
      <c r="BN373">
        <v>0</v>
      </c>
      <c r="BO373">
        <v>0</v>
      </c>
      <c r="BP373">
        <v>0</v>
      </c>
      <c r="BT373">
        <v>0</v>
      </c>
      <c r="BU373">
        <v>0</v>
      </c>
      <c r="CE373" t="str">
        <f>"20:21:07.008"</f>
        <v>20:21:07.008</v>
      </c>
      <c r="CF373">
        <v>7990824</v>
      </c>
      <c r="CS373">
        <v>0</v>
      </c>
      <c r="CT373">
        <v>2</v>
      </c>
      <c r="CU373">
        <v>0</v>
      </c>
      <c r="CV373">
        <v>2</v>
      </c>
      <c r="CW373">
        <v>0</v>
      </c>
      <c r="CX373">
        <v>2</v>
      </c>
      <c r="CY373">
        <v>7</v>
      </c>
      <c r="CZ373" t="s">
        <v>131</v>
      </c>
      <c r="DA373">
        <v>116</v>
      </c>
      <c r="DB373">
        <v>3</v>
      </c>
      <c r="DC373" t="s">
        <v>132</v>
      </c>
      <c r="DD373" t="s">
        <v>133</v>
      </c>
      <c r="DG373">
        <v>8254488</v>
      </c>
      <c r="DI373">
        <v>0</v>
      </c>
      <c r="DJ373">
        <v>0</v>
      </c>
      <c r="DK373">
        <v>1</v>
      </c>
      <c r="DL373">
        <v>0</v>
      </c>
      <c r="DM373">
        <v>0</v>
      </c>
      <c r="DN373">
        <v>0</v>
      </c>
      <c r="DO373">
        <v>0</v>
      </c>
      <c r="DP373">
        <v>1</v>
      </c>
      <c r="DQ373">
        <v>0</v>
      </c>
      <c r="DR373">
        <v>0</v>
      </c>
      <c r="DS373">
        <v>0</v>
      </c>
    </row>
    <row r="374" spans="1:123" x14ac:dyDescent="0.25">
      <c r="A374" t="str">
        <f>"11/29/2023 20:21:07.430"</f>
        <v>11/29/2023 20:21:07.430</v>
      </c>
      <c r="C374" t="str">
        <f t="shared" si="49"/>
        <v>FFDF53C0</v>
      </c>
      <c r="D374" t="s">
        <v>123</v>
      </c>
      <c r="E374">
        <v>1</v>
      </c>
      <c r="F374">
        <v>1001</v>
      </c>
      <c r="G374" t="s">
        <v>134</v>
      </c>
      <c r="J374" t="s">
        <v>125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"20:21:07.008"</f>
        <v>20:21:07.008</v>
      </c>
      <c r="T374" t="str">
        <f>"20:21:06.208"</f>
        <v>20:21:06.208</v>
      </c>
      <c r="U374" t="str">
        <f t="shared" si="43"/>
        <v>AA0632</v>
      </c>
      <c r="V374">
        <v>0</v>
      </c>
      <c r="W374">
        <v>0</v>
      </c>
      <c r="X374">
        <v>2</v>
      </c>
      <c r="Y374">
        <v>0</v>
      </c>
      <c r="AA374">
        <v>0</v>
      </c>
      <c r="AB374">
        <v>9</v>
      </c>
      <c r="AC374">
        <v>3</v>
      </c>
      <c r="AD374">
        <v>0</v>
      </c>
      <c r="AE374">
        <v>10</v>
      </c>
      <c r="AF374" t="s">
        <v>126</v>
      </c>
      <c r="AG374">
        <v>0</v>
      </c>
      <c r="AH374">
        <v>0</v>
      </c>
      <c r="AI374">
        <v>2</v>
      </c>
      <c r="AJ374">
        <v>0</v>
      </c>
      <c r="AK374" t="s">
        <v>317</v>
      </c>
      <c r="AL374">
        <v>31.957576</v>
      </c>
      <c r="AM374" t="s">
        <v>318</v>
      </c>
      <c r="AN374">
        <v>-101.122606</v>
      </c>
      <c r="AQ374" t="s">
        <v>129</v>
      </c>
      <c r="AR374">
        <v>77</v>
      </c>
      <c r="AS374">
        <v>-41</v>
      </c>
      <c r="AT374">
        <v>-192</v>
      </c>
      <c r="BB374" t="str">
        <f t="shared" si="44"/>
        <v>1200</v>
      </c>
      <c r="BC374">
        <v>1</v>
      </c>
      <c r="BD374" t="str">
        <f t="shared" si="46"/>
        <v xml:space="preserve">N745MB  </v>
      </c>
      <c r="BE374">
        <v>1</v>
      </c>
      <c r="BG374">
        <v>0</v>
      </c>
      <c r="BH374">
        <v>0</v>
      </c>
      <c r="BI374">
        <v>0</v>
      </c>
      <c r="BL374" t="s">
        <v>130</v>
      </c>
      <c r="BM374">
        <v>1</v>
      </c>
      <c r="BN374">
        <v>0</v>
      </c>
      <c r="BO374">
        <v>0</v>
      </c>
      <c r="BP374">
        <v>0</v>
      </c>
      <c r="BT374">
        <v>0</v>
      </c>
      <c r="BU374">
        <v>0</v>
      </c>
      <c r="CE374" t="str">
        <f>"20:21:07.008"</f>
        <v>20:21:07.008</v>
      </c>
      <c r="CF374">
        <v>7990824</v>
      </c>
      <c r="CS374">
        <v>0</v>
      </c>
      <c r="CT374">
        <v>2</v>
      </c>
      <c r="CU374">
        <v>0</v>
      </c>
      <c r="CV374">
        <v>2</v>
      </c>
      <c r="CW374">
        <v>0</v>
      </c>
      <c r="CX374">
        <v>2</v>
      </c>
      <c r="CY374">
        <v>7</v>
      </c>
      <c r="CZ374" t="s">
        <v>131</v>
      </c>
      <c r="DA374">
        <v>116</v>
      </c>
      <c r="DB374">
        <v>3</v>
      </c>
      <c r="DC374" t="s">
        <v>132</v>
      </c>
      <c r="DD374" t="s">
        <v>133</v>
      </c>
      <c r="DG374">
        <v>8254488</v>
      </c>
      <c r="DI374">
        <v>0</v>
      </c>
      <c r="DJ374">
        <v>0</v>
      </c>
      <c r="DK374">
        <v>1</v>
      </c>
      <c r="DL374">
        <v>0</v>
      </c>
      <c r="DM374">
        <v>0</v>
      </c>
      <c r="DN374">
        <v>0</v>
      </c>
      <c r="DO374">
        <v>0</v>
      </c>
      <c r="DP374">
        <v>1</v>
      </c>
      <c r="DQ374">
        <v>0</v>
      </c>
      <c r="DR374">
        <v>0</v>
      </c>
      <c r="DS374">
        <v>0</v>
      </c>
    </row>
    <row r="375" spans="1:123" x14ac:dyDescent="0.25">
      <c r="A375" t="str">
        <f>"11/29/2023 20:21:08.930"</f>
        <v>11/29/2023 20:21:08.930</v>
      </c>
      <c r="C375" t="str">
        <f t="shared" si="49"/>
        <v>FFDF53C0</v>
      </c>
      <c r="D375" t="s">
        <v>123</v>
      </c>
      <c r="E375">
        <v>1</v>
      </c>
      <c r="F375">
        <v>1001</v>
      </c>
      <c r="G375" t="s">
        <v>134</v>
      </c>
      <c r="J375" t="s">
        <v>125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"20:21:08.516"</f>
        <v>20:21:08.516</v>
      </c>
      <c r="T375" t="str">
        <f>"20:21:08.116"</f>
        <v>20:21:08.116</v>
      </c>
      <c r="U375" t="str">
        <f t="shared" si="43"/>
        <v>AA0632</v>
      </c>
      <c r="V375">
        <v>0</v>
      </c>
      <c r="W375">
        <v>0</v>
      </c>
      <c r="X375">
        <v>2</v>
      </c>
      <c r="Y375">
        <v>0</v>
      </c>
      <c r="AA375">
        <v>0</v>
      </c>
      <c r="AB375">
        <v>9</v>
      </c>
      <c r="AC375">
        <v>3</v>
      </c>
      <c r="AD375">
        <v>0</v>
      </c>
      <c r="AE375">
        <v>10</v>
      </c>
      <c r="AF375" t="s">
        <v>126</v>
      </c>
      <c r="AG375">
        <v>0</v>
      </c>
      <c r="AH375">
        <v>0</v>
      </c>
      <c r="AI375">
        <v>2</v>
      </c>
      <c r="AJ375">
        <v>0</v>
      </c>
      <c r="AK375" t="s">
        <v>319</v>
      </c>
      <c r="AL375">
        <v>31.957276</v>
      </c>
      <c r="AM375" t="s">
        <v>320</v>
      </c>
      <c r="AN375">
        <v>-101.12191900000001</v>
      </c>
      <c r="AQ375" t="s">
        <v>129</v>
      </c>
      <c r="AR375">
        <v>79</v>
      </c>
      <c r="AS375">
        <v>-42</v>
      </c>
      <c r="AT375">
        <v>-384</v>
      </c>
      <c r="BB375" t="str">
        <f t="shared" si="44"/>
        <v>1200</v>
      </c>
      <c r="BC375">
        <v>1</v>
      </c>
      <c r="BD375" t="str">
        <f t="shared" si="46"/>
        <v xml:space="preserve">N745MB  </v>
      </c>
      <c r="BE375">
        <v>1</v>
      </c>
      <c r="BG375">
        <v>0</v>
      </c>
      <c r="BH375">
        <v>0</v>
      </c>
      <c r="BI375">
        <v>0</v>
      </c>
      <c r="BL375" t="s">
        <v>130</v>
      </c>
      <c r="BM375">
        <v>1</v>
      </c>
      <c r="BN375">
        <v>0</v>
      </c>
      <c r="BO375">
        <v>0</v>
      </c>
      <c r="BP375">
        <v>0</v>
      </c>
      <c r="BT375">
        <v>0</v>
      </c>
      <c r="BU375">
        <v>0</v>
      </c>
      <c r="CE375" t="str">
        <f>"20:21:08.522"</f>
        <v>20:21:08.522</v>
      </c>
      <c r="CF375">
        <v>521889281</v>
      </c>
      <c r="CS375">
        <v>0</v>
      </c>
      <c r="CT375">
        <v>2</v>
      </c>
      <c r="CU375">
        <v>0</v>
      </c>
      <c r="CV375">
        <v>2</v>
      </c>
      <c r="CW375">
        <v>0</v>
      </c>
      <c r="CX375">
        <v>3</v>
      </c>
      <c r="CY375">
        <v>7</v>
      </c>
      <c r="CZ375" t="s">
        <v>131</v>
      </c>
      <c r="DA375">
        <v>116</v>
      </c>
      <c r="DB375">
        <v>3</v>
      </c>
      <c r="DC375" t="s">
        <v>132</v>
      </c>
      <c r="DD375" t="s">
        <v>133</v>
      </c>
      <c r="DG375">
        <v>8255291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1</v>
      </c>
      <c r="DQ375">
        <v>0</v>
      </c>
      <c r="DR375">
        <v>0</v>
      </c>
      <c r="DS375">
        <v>0</v>
      </c>
    </row>
    <row r="376" spans="1:123" x14ac:dyDescent="0.25">
      <c r="A376" t="str">
        <f>"11/29/2023 20:21:10.805"</f>
        <v>11/29/2023 20:21:10.805</v>
      </c>
      <c r="C376" t="str">
        <f t="shared" si="49"/>
        <v>FFDF53C0</v>
      </c>
      <c r="D376" t="s">
        <v>123</v>
      </c>
      <c r="E376">
        <v>1</v>
      </c>
      <c r="F376">
        <v>1001</v>
      </c>
      <c r="G376" t="s">
        <v>134</v>
      </c>
      <c r="J376" t="s">
        <v>125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"20:21:10.555"</f>
        <v>20:21:10.555</v>
      </c>
      <c r="T376" t="str">
        <f>"20:21:10.255"</f>
        <v>20:21:10.255</v>
      </c>
      <c r="U376" t="str">
        <f t="shared" si="43"/>
        <v>AA0632</v>
      </c>
      <c r="V376">
        <v>0</v>
      </c>
      <c r="W376">
        <v>0</v>
      </c>
      <c r="X376">
        <v>2</v>
      </c>
      <c r="Y376">
        <v>0</v>
      </c>
      <c r="AA376">
        <v>0</v>
      </c>
      <c r="AB376">
        <v>9</v>
      </c>
      <c r="AC376">
        <v>3</v>
      </c>
      <c r="AD376">
        <v>0</v>
      </c>
      <c r="AE376">
        <v>10</v>
      </c>
      <c r="AF376" t="s">
        <v>126</v>
      </c>
      <c r="AG376">
        <v>0</v>
      </c>
      <c r="AH376">
        <v>0</v>
      </c>
      <c r="AI376">
        <v>2</v>
      </c>
      <c r="AJ376">
        <v>0</v>
      </c>
      <c r="AK376" t="s">
        <v>183</v>
      </c>
      <c r="AL376">
        <v>31.956911000000002</v>
      </c>
      <c r="AM376" t="s">
        <v>321</v>
      </c>
      <c r="AN376">
        <v>-101.121082</v>
      </c>
      <c r="AQ376" t="s">
        <v>129</v>
      </c>
      <c r="AR376">
        <v>79</v>
      </c>
      <c r="AS376">
        <v>-42</v>
      </c>
      <c r="AT376">
        <v>-384</v>
      </c>
      <c r="BB376" t="str">
        <f t="shared" si="44"/>
        <v>1200</v>
      </c>
      <c r="BC376">
        <v>1</v>
      </c>
      <c r="BD376" t="str">
        <f t="shared" si="46"/>
        <v xml:space="preserve">N745MB  </v>
      </c>
      <c r="BE376">
        <v>1</v>
      </c>
      <c r="BG376">
        <v>0</v>
      </c>
      <c r="BH376">
        <v>0</v>
      </c>
      <c r="BI376">
        <v>0</v>
      </c>
      <c r="BL376" t="s">
        <v>130</v>
      </c>
      <c r="BM376">
        <v>1</v>
      </c>
      <c r="BN376">
        <v>0</v>
      </c>
      <c r="BO376">
        <v>0</v>
      </c>
      <c r="BP376">
        <v>0</v>
      </c>
      <c r="BT376">
        <v>0</v>
      </c>
      <c r="BU376">
        <v>0</v>
      </c>
      <c r="CE376" t="str">
        <f>"20:21:10.562"</f>
        <v>20:21:10.562</v>
      </c>
      <c r="CF376">
        <v>561747615</v>
      </c>
      <c r="CS376">
        <v>0</v>
      </c>
      <c r="CT376">
        <v>2</v>
      </c>
      <c r="CU376">
        <v>0</v>
      </c>
      <c r="CV376">
        <v>2</v>
      </c>
      <c r="CW376">
        <v>0</v>
      </c>
      <c r="CX376">
        <v>3</v>
      </c>
      <c r="CY376">
        <v>7</v>
      </c>
      <c r="CZ376" t="s">
        <v>131</v>
      </c>
      <c r="DA376">
        <v>116</v>
      </c>
      <c r="DB376">
        <v>3</v>
      </c>
      <c r="DC376" t="s">
        <v>132</v>
      </c>
      <c r="DD376" t="s">
        <v>133</v>
      </c>
      <c r="DG376">
        <v>8256392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1</v>
      </c>
      <c r="DQ376">
        <v>0</v>
      </c>
      <c r="DR376">
        <v>0</v>
      </c>
      <c r="DS376">
        <v>0</v>
      </c>
    </row>
    <row r="377" spans="1:123" x14ac:dyDescent="0.25">
      <c r="A377" t="str">
        <f>"11/29/2023 20:21:10.805"</f>
        <v>11/29/2023 20:21:10.805</v>
      </c>
      <c r="C377" t="str">
        <f t="shared" si="49"/>
        <v>FFDF53C0</v>
      </c>
      <c r="D377" t="s">
        <v>135</v>
      </c>
      <c r="E377">
        <v>31</v>
      </c>
      <c r="H377">
        <v>285</v>
      </c>
      <c r="I377" t="s">
        <v>136</v>
      </c>
      <c r="J377" t="s">
        <v>137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"20:21:10.555"</f>
        <v>20:21:10.555</v>
      </c>
      <c r="T377" t="str">
        <f>"20:21:10.255"</f>
        <v>20:21:10.255</v>
      </c>
      <c r="U377" t="str">
        <f t="shared" si="43"/>
        <v>AA0632</v>
      </c>
      <c r="V377">
        <v>0</v>
      </c>
      <c r="W377">
        <v>0</v>
      </c>
      <c r="X377">
        <v>2</v>
      </c>
      <c r="Y377">
        <v>0</v>
      </c>
      <c r="AA377">
        <v>0</v>
      </c>
      <c r="AB377">
        <v>9</v>
      </c>
      <c r="AC377">
        <v>3</v>
      </c>
      <c r="AD377">
        <v>0</v>
      </c>
      <c r="AE377">
        <v>10</v>
      </c>
      <c r="AF377" t="s">
        <v>126</v>
      </c>
      <c r="AG377">
        <v>0</v>
      </c>
      <c r="AH377">
        <v>0</v>
      </c>
      <c r="AI377">
        <v>2</v>
      </c>
      <c r="AJ377">
        <v>0</v>
      </c>
      <c r="AK377" t="s">
        <v>183</v>
      </c>
      <c r="AL377">
        <v>31.956911000000002</v>
      </c>
      <c r="AM377" t="s">
        <v>321</v>
      </c>
      <c r="AN377">
        <v>-101.121082</v>
      </c>
      <c r="AQ377" t="s">
        <v>129</v>
      </c>
      <c r="AR377">
        <v>79</v>
      </c>
      <c r="AS377">
        <v>-42</v>
      </c>
      <c r="AT377">
        <v>-384</v>
      </c>
      <c r="BB377" t="str">
        <f t="shared" si="44"/>
        <v>1200</v>
      </c>
      <c r="BC377">
        <v>1</v>
      </c>
      <c r="BD377" t="str">
        <f t="shared" si="46"/>
        <v xml:space="preserve">N745MB  </v>
      </c>
      <c r="BE377">
        <v>1</v>
      </c>
      <c r="BG377">
        <v>0</v>
      </c>
      <c r="BH377">
        <v>0</v>
      </c>
      <c r="BI377">
        <v>0</v>
      </c>
      <c r="BL377" t="s">
        <v>130</v>
      </c>
      <c r="BM377">
        <v>1</v>
      </c>
      <c r="BN377">
        <v>0</v>
      </c>
      <c r="BO377">
        <v>0</v>
      </c>
      <c r="BP377">
        <v>0</v>
      </c>
      <c r="BT377">
        <v>0</v>
      </c>
      <c r="BU377">
        <v>0</v>
      </c>
      <c r="CE377" t="str">
        <f>"20:21:10.562"</f>
        <v>20:21:10.562</v>
      </c>
      <c r="CF377">
        <v>561747615</v>
      </c>
      <c r="CS377">
        <v>0</v>
      </c>
      <c r="CT377">
        <v>2</v>
      </c>
      <c r="CU377">
        <v>0</v>
      </c>
      <c r="CV377">
        <v>2</v>
      </c>
      <c r="CW377">
        <v>0</v>
      </c>
      <c r="CX377">
        <v>3</v>
      </c>
      <c r="CY377">
        <v>7</v>
      </c>
      <c r="CZ377" t="s">
        <v>131</v>
      </c>
      <c r="DA377">
        <v>116</v>
      </c>
      <c r="DB377">
        <v>3</v>
      </c>
      <c r="DC377" t="s">
        <v>132</v>
      </c>
      <c r="DD377" t="s">
        <v>133</v>
      </c>
      <c r="DG377">
        <v>8256392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1</v>
      </c>
      <c r="DQ377">
        <v>0</v>
      </c>
      <c r="DR377">
        <v>0</v>
      </c>
      <c r="DS377">
        <v>0</v>
      </c>
    </row>
    <row r="378" spans="1:123" x14ac:dyDescent="0.25">
      <c r="A378" t="str">
        <f>"11/29/2023 20:21:10.805"</f>
        <v>11/29/2023 20:21:10.805</v>
      </c>
      <c r="C378" t="str">
        <f t="shared" si="49"/>
        <v>FFDF53C0</v>
      </c>
      <c r="D378" t="s">
        <v>138</v>
      </c>
      <c r="E378">
        <v>3</v>
      </c>
      <c r="H378">
        <v>160</v>
      </c>
      <c r="I378" t="s">
        <v>124</v>
      </c>
      <c r="J378" t="s">
        <v>139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"20:21:10.555"</f>
        <v>20:21:10.555</v>
      </c>
      <c r="T378" t="str">
        <f>"20:21:10.255"</f>
        <v>20:21:10.255</v>
      </c>
      <c r="U378" t="str">
        <f t="shared" si="43"/>
        <v>AA0632</v>
      </c>
      <c r="V378">
        <v>0</v>
      </c>
      <c r="W378">
        <v>0</v>
      </c>
      <c r="X378">
        <v>2</v>
      </c>
      <c r="Y378">
        <v>0</v>
      </c>
      <c r="AA378">
        <v>0</v>
      </c>
      <c r="AB378">
        <v>9</v>
      </c>
      <c r="AC378">
        <v>3</v>
      </c>
      <c r="AD378">
        <v>0</v>
      </c>
      <c r="AE378">
        <v>10</v>
      </c>
      <c r="AF378" t="s">
        <v>126</v>
      </c>
      <c r="AG378">
        <v>0</v>
      </c>
      <c r="AH378">
        <v>0</v>
      </c>
      <c r="AI378">
        <v>2</v>
      </c>
      <c r="AJ378">
        <v>0</v>
      </c>
      <c r="AK378" t="s">
        <v>183</v>
      </c>
      <c r="AL378">
        <v>31.956911000000002</v>
      </c>
      <c r="AM378" t="s">
        <v>321</v>
      </c>
      <c r="AN378">
        <v>-101.121082</v>
      </c>
      <c r="AQ378" t="s">
        <v>129</v>
      </c>
      <c r="AR378">
        <v>79</v>
      </c>
      <c r="AS378">
        <v>-42</v>
      </c>
      <c r="AT378">
        <v>-384</v>
      </c>
      <c r="BB378" t="str">
        <f t="shared" si="44"/>
        <v>1200</v>
      </c>
      <c r="BC378">
        <v>1</v>
      </c>
      <c r="BD378" t="str">
        <f t="shared" si="46"/>
        <v xml:space="preserve">N745MB  </v>
      </c>
      <c r="BE378">
        <v>1</v>
      </c>
      <c r="BG378">
        <v>0</v>
      </c>
      <c r="BH378">
        <v>0</v>
      </c>
      <c r="BI378">
        <v>0</v>
      </c>
      <c r="BL378" t="s">
        <v>130</v>
      </c>
      <c r="BM378">
        <v>1</v>
      </c>
      <c r="BN378">
        <v>0</v>
      </c>
      <c r="BO378">
        <v>0</v>
      </c>
      <c r="BP378">
        <v>0</v>
      </c>
      <c r="BT378">
        <v>0</v>
      </c>
      <c r="BU378">
        <v>0</v>
      </c>
      <c r="CE378" t="str">
        <f>"20:21:10.562"</f>
        <v>20:21:10.562</v>
      </c>
      <c r="CF378">
        <v>561747615</v>
      </c>
      <c r="CS378">
        <v>0</v>
      </c>
      <c r="CT378">
        <v>2</v>
      </c>
      <c r="CU378">
        <v>0</v>
      </c>
      <c r="CV378">
        <v>2</v>
      </c>
      <c r="CW378">
        <v>0</v>
      </c>
      <c r="CX378">
        <v>3</v>
      </c>
      <c r="CY378">
        <v>7</v>
      </c>
      <c r="CZ378" t="s">
        <v>131</v>
      </c>
      <c r="DA378">
        <v>116</v>
      </c>
      <c r="DB378">
        <v>3</v>
      </c>
      <c r="DC378" t="s">
        <v>132</v>
      </c>
      <c r="DD378" t="s">
        <v>133</v>
      </c>
      <c r="DG378">
        <v>8256392</v>
      </c>
      <c r="DI378">
        <v>0</v>
      </c>
      <c r="DJ378">
        <v>0</v>
      </c>
      <c r="DK378">
        <v>1</v>
      </c>
      <c r="DL378">
        <v>0</v>
      </c>
      <c r="DM378">
        <v>0</v>
      </c>
      <c r="DN378">
        <v>0</v>
      </c>
      <c r="DO378">
        <v>0</v>
      </c>
      <c r="DP378">
        <v>1</v>
      </c>
      <c r="DQ378">
        <v>0</v>
      </c>
      <c r="DR378">
        <v>0</v>
      </c>
      <c r="DS378">
        <v>0</v>
      </c>
    </row>
    <row r="379" spans="1:123" x14ac:dyDescent="0.25">
      <c r="A379" t="str">
        <f>"11/29/2023 20:21:10.820"</f>
        <v>11/29/2023 20:21:10.820</v>
      </c>
      <c r="C379" t="str">
        <f t="shared" si="49"/>
        <v>FFDF53C0</v>
      </c>
      <c r="D379" t="s">
        <v>123</v>
      </c>
      <c r="E379">
        <v>14</v>
      </c>
      <c r="F379">
        <v>1014</v>
      </c>
      <c r="G379" t="s">
        <v>124</v>
      </c>
      <c r="J379" t="s">
        <v>125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"20:21:10.555"</f>
        <v>20:21:10.555</v>
      </c>
      <c r="T379" t="str">
        <f>"20:21:10.255"</f>
        <v>20:21:10.255</v>
      </c>
      <c r="U379" t="str">
        <f t="shared" si="43"/>
        <v>AA0632</v>
      </c>
      <c r="V379">
        <v>0</v>
      </c>
      <c r="W379">
        <v>0</v>
      </c>
      <c r="X379">
        <v>2</v>
      </c>
      <c r="Y379">
        <v>0</v>
      </c>
      <c r="AA379">
        <v>0</v>
      </c>
      <c r="AB379">
        <v>9</v>
      </c>
      <c r="AC379">
        <v>3</v>
      </c>
      <c r="AD379">
        <v>0</v>
      </c>
      <c r="AE379">
        <v>10</v>
      </c>
      <c r="AF379" t="s">
        <v>126</v>
      </c>
      <c r="AG379">
        <v>0</v>
      </c>
      <c r="AH379">
        <v>0</v>
      </c>
      <c r="AI379">
        <v>2</v>
      </c>
      <c r="AJ379">
        <v>0</v>
      </c>
      <c r="AK379" t="s">
        <v>183</v>
      </c>
      <c r="AL379">
        <v>31.956911000000002</v>
      </c>
      <c r="AM379" t="s">
        <v>321</v>
      </c>
      <c r="AN379">
        <v>-101.121082</v>
      </c>
      <c r="AQ379" t="s">
        <v>129</v>
      </c>
      <c r="AR379">
        <v>79</v>
      </c>
      <c r="AS379">
        <v>-42</v>
      </c>
      <c r="AT379">
        <v>-384</v>
      </c>
      <c r="BB379" t="str">
        <f t="shared" si="44"/>
        <v>1200</v>
      </c>
      <c r="BC379">
        <v>1</v>
      </c>
      <c r="BD379" t="str">
        <f t="shared" si="46"/>
        <v xml:space="preserve">N745MB  </v>
      </c>
      <c r="BE379">
        <v>1</v>
      </c>
      <c r="BG379">
        <v>0</v>
      </c>
      <c r="BH379">
        <v>0</v>
      </c>
      <c r="BI379">
        <v>0</v>
      </c>
      <c r="BL379" t="s">
        <v>130</v>
      </c>
      <c r="BM379">
        <v>1</v>
      </c>
      <c r="BN379">
        <v>0</v>
      </c>
      <c r="BO379">
        <v>0</v>
      </c>
      <c r="BP379">
        <v>0</v>
      </c>
      <c r="BT379">
        <v>0</v>
      </c>
      <c r="BU379">
        <v>0</v>
      </c>
      <c r="CE379" t="str">
        <f>"20:21:10.562"</f>
        <v>20:21:10.562</v>
      </c>
      <c r="CF379">
        <v>561747615</v>
      </c>
      <c r="CS379">
        <v>0</v>
      </c>
      <c r="CT379">
        <v>2</v>
      </c>
      <c r="CU379">
        <v>0</v>
      </c>
      <c r="CV379">
        <v>2</v>
      </c>
      <c r="CW379">
        <v>0</v>
      </c>
      <c r="CX379">
        <v>3</v>
      </c>
      <c r="CY379">
        <v>7</v>
      </c>
      <c r="CZ379" t="s">
        <v>131</v>
      </c>
      <c r="DA379">
        <v>116</v>
      </c>
      <c r="DB379">
        <v>3</v>
      </c>
      <c r="DC379" t="s">
        <v>132</v>
      </c>
      <c r="DD379" t="s">
        <v>133</v>
      </c>
      <c r="DG379">
        <v>8256392</v>
      </c>
      <c r="DI379">
        <v>0</v>
      </c>
      <c r="DJ379">
        <v>0</v>
      </c>
      <c r="DK379">
        <v>1</v>
      </c>
      <c r="DL379">
        <v>0</v>
      </c>
      <c r="DM379">
        <v>0</v>
      </c>
      <c r="DN379">
        <v>0</v>
      </c>
      <c r="DO379">
        <v>0</v>
      </c>
      <c r="DP379">
        <v>1</v>
      </c>
      <c r="DQ379">
        <v>0</v>
      </c>
      <c r="DR379">
        <v>0</v>
      </c>
      <c r="DS379">
        <v>0</v>
      </c>
    </row>
    <row r="380" spans="1:123" x14ac:dyDescent="0.25">
      <c r="A380" t="str">
        <f>"11/29/2023 20:21:11.836"</f>
        <v>11/29/2023 20:21:11.836</v>
      </c>
      <c r="C380" t="str">
        <f t="shared" si="49"/>
        <v>FFDF53C0</v>
      </c>
      <c r="D380" t="s">
        <v>135</v>
      </c>
      <c r="E380">
        <v>31</v>
      </c>
      <c r="H380">
        <v>285</v>
      </c>
      <c r="I380" t="s">
        <v>136</v>
      </c>
      <c r="J380" t="s">
        <v>137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"20:21:11.492"</f>
        <v>20:21:11.492</v>
      </c>
      <c r="T380" t="str">
        <f>"20:21:11.392"</f>
        <v>20:21:11.392</v>
      </c>
      <c r="U380" t="str">
        <f t="shared" si="43"/>
        <v>AA0632</v>
      </c>
      <c r="V380">
        <v>0</v>
      </c>
      <c r="W380">
        <v>0</v>
      </c>
      <c r="X380">
        <v>2</v>
      </c>
      <c r="Y380">
        <v>0</v>
      </c>
      <c r="AA380">
        <v>0</v>
      </c>
      <c r="AB380">
        <v>9</v>
      </c>
      <c r="AC380">
        <v>3</v>
      </c>
      <c r="AD380">
        <v>0</v>
      </c>
      <c r="AE380">
        <v>10</v>
      </c>
      <c r="AF380" t="s">
        <v>126</v>
      </c>
      <c r="AG380">
        <v>0</v>
      </c>
      <c r="AH380">
        <v>0</v>
      </c>
      <c r="AI380">
        <v>2</v>
      </c>
      <c r="AJ380">
        <v>0</v>
      </c>
      <c r="AK380" t="s">
        <v>322</v>
      </c>
      <c r="AL380">
        <v>31.956675000000001</v>
      </c>
      <c r="AM380" t="s">
        <v>323</v>
      </c>
      <c r="AN380">
        <v>-101.120632</v>
      </c>
      <c r="AQ380" t="s">
        <v>129</v>
      </c>
      <c r="AR380">
        <v>79</v>
      </c>
      <c r="AS380">
        <v>-43</v>
      </c>
      <c r="AT380">
        <v>-320</v>
      </c>
      <c r="BB380" t="str">
        <f t="shared" si="44"/>
        <v>1200</v>
      </c>
      <c r="BC380">
        <v>1</v>
      </c>
      <c r="BD380" t="str">
        <f t="shared" si="46"/>
        <v xml:space="preserve">N745MB  </v>
      </c>
      <c r="BE380">
        <v>1</v>
      </c>
      <c r="BG380">
        <v>0</v>
      </c>
      <c r="BH380">
        <v>0</v>
      </c>
      <c r="BI380">
        <v>0</v>
      </c>
      <c r="BL380" t="s">
        <v>130</v>
      </c>
      <c r="BM380">
        <v>1</v>
      </c>
      <c r="BN380">
        <v>0</v>
      </c>
      <c r="BO380">
        <v>0</v>
      </c>
      <c r="BP380">
        <v>0</v>
      </c>
      <c r="BT380">
        <v>0</v>
      </c>
      <c r="BU380">
        <v>0</v>
      </c>
      <c r="CE380" t="str">
        <f>"20:21:11.498"</f>
        <v>20:21:11.498</v>
      </c>
      <c r="CF380">
        <v>497704728</v>
      </c>
      <c r="CS380">
        <v>0</v>
      </c>
      <c r="CT380">
        <v>2</v>
      </c>
      <c r="CU380">
        <v>0</v>
      </c>
      <c r="CV380">
        <v>2</v>
      </c>
      <c r="CW380">
        <v>0</v>
      </c>
      <c r="CX380">
        <v>3</v>
      </c>
      <c r="CY380">
        <v>7</v>
      </c>
      <c r="CZ380" t="s">
        <v>131</v>
      </c>
      <c r="DA380">
        <v>116</v>
      </c>
      <c r="DB380">
        <v>3</v>
      </c>
      <c r="DC380" t="s">
        <v>132</v>
      </c>
      <c r="DD380" t="s">
        <v>133</v>
      </c>
      <c r="DG380">
        <v>8256919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1</v>
      </c>
      <c r="DQ380">
        <v>0</v>
      </c>
      <c r="DR380">
        <v>0</v>
      </c>
      <c r="DS380">
        <v>0</v>
      </c>
    </row>
    <row r="381" spans="1:123" x14ac:dyDescent="0.25">
      <c r="A381" t="str">
        <f>"11/29/2023 20:21:11.836"</f>
        <v>11/29/2023 20:21:11.836</v>
      </c>
      <c r="C381" t="str">
        <f t="shared" si="49"/>
        <v>FFDF53C0</v>
      </c>
      <c r="D381" t="s">
        <v>138</v>
      </c>
      <c r="E381">
        <v>3</v>
      </c>
      <c r="H381">
        <v>160</v>
      </c>
      <c r="I381" t="s">
        <v>124</v>
      </c>
      <c r="J381" t="s">
        <v>139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"20:21:11.492"</f>
        <v>20:21:11.492</v>
      </c>
      <c r="T381" t="str">
        <f>"20:21:11.392"</f>
        <v>20:21:11.392</v>
      </c>
      <c r="U381" t="str">
        <f t="shared" si="43"/>
        <v>AA0632</v>
      </c>
      <c r="V381">
        <v>0</v>
      </c>
      <c r="W381">
        <v>0</v>
      </c>
      <c r="X381">
        <v>2</v>
      </c>
      <c r="Y381">
        <v>0</v>
      </c>
      <c r="AA381">
        <v>0</v>
      </c>
      <c r="AB381">
        <v>9</v>
      </c>
      <c r="AC381">
        <v>3</v>
      </c>
      <c r="AD381">
        <v>0</v>
      </c>
      <c r="AE381">
        <v>10</v>
      </c>
      <c r="AF381" t="s">
        <v>126</v>
      </c>
      <c r="AG381">
        <v>0</v>
      </c>
      <c r="AH381">
        <v>0</v>
      </c>
      <c r="AI381">
        <v>2</v>
      </c>
      <c r="AJ381">
        <v>0</v>
      </c>
      <c r="AK381" t="s">
        <v>322</v>
      </c>
      <c r="AL381">
        <v>31.956675000000001</v>
      </c>
      <c r="AM381" t="s">
        <v>323</v>
      </c>
      <c r="AN381">
        <v>-101.120632</v>
      </c>
      <c r="AQ381" t="s">
        <v>129</v>
      </c>
      <c r="AR381">
        <v>79</v>
      </c>
      <c r="AS381">
        <v>-43</v>
      </c>
      <c r="AT381">
        <v>-320</v>
      </c>
      <c r="BB381" t="str">
        <f t="shared" si="44"/>
        <v>1200</v>
      </c>
      <c r="BC381">
        <v>1</v>
      </c>
      <c r="BD381" t="str">
        <f t="shared" si="46"/>
        <v xml:space="preserve">N745MB  </v>
      </c>
      <c r="BE381">
        <v>1</v>
      </c>
      <c r="BG381">
        <v>0</v>
      </c>
      <c r="BH381">
        <v>0</v>
      </c>
      <c r="BI381">
        <v>0</v>
      </c>
      <c r="BL381" t="s">
        <v>130</v>
      </c>
      <c r="BM381">
        <v>1</v>
      </c>
      <c r="BN381">
        <v>0</v>
      </c>
      <c r="BO381">
        <v>0</v>
      </c>
      <c r="BP381">
        <v>0</v>
      </c>
      <c r="BT381">
        <v>0</v>
      </c>
      <c r="BU381">
        <v>0</v>
      </c>
      <c r="CE381" t="str">
        <f>"20:21:11.498"</f>
        <v>20:21:11.498</v>
      </c>
      <c r="CF381">
        <v>497704728</v>
      </c>
      <c r="CS381">
        <v>0</v>
      </c>
      <c r="CT381">
        <v>2</v>
      </c>
      <c r="CU381">
        <v>0</v>
      </c>
      <c r="CV381">
        <v>2</v>
      </c>
      <c r="CW381">
        <v>0</v>
      </c>
      <c r="CX381">
        <v>3</v>
      </c>
      <c r="CY381">
        <v>7</v>
      </c>
      <c r="CZ381" t="s">
        <v>131</v>
      </c>
      <c r="DA381">
        <v>116</v>
      </c>
      <c r="DB381">
        <v>3</v>
      </c>
      <c r="DC381" t="s">
        <v>132</v>
      </c>
      <c r="DD381" t="s">
        <v>133</v>
      </c>
      <c r="DG381">
        <v>8256919</v>
      </c>
      <c r="DI381">
        <v>0</v>
      </c>
      <c r="DJ381">
        <v>0</v>
      </c>
      <c r="DK381">
        <v>1</v>
      </c>
      <c r="DL381">
        <v>0</v>
      </c>
      <c r="DM381">
        <v>0</v>
      </c>
      <c r="DN381">
        <v>0</v>
      </c>
      <c r="DO381">
        <v>0</v>
      </c>
      <c r="DP381">
        <v>1</v>
      </c>
      <c r="DQ381">
        <v>0</v>
      </c>
      <c r="DR381">
        <v>0</v>
      </c>
      <c r="DS381">
        <v>0</v>
      </c>
    </row>
    <row r="382" spans="1:123" x14ac:dyDescent="0.25">
      <c r="A382" t="str">
        <f>"11/29/2023 20:21:11.836"</f>
        <v>11/29/2023 20:21:11.836</v>
      </c>
      <c r="C382" t="str">
        <f t="shared" si="49"/>
        <v>FFDF53C0</v>
      </c>
      <c r="D382" t="s">
        <v>123</v>
      </c>
      <c r="E382">
        <v>14</v>
      </c>
      <c r="F382">
        <v>1014</v>
      </c>
      <c r="G382" t="s">
        <v>124</v>
      </c>
      <c r="J382" t="s">
        <v>125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"20:21:11.492"</f>
        <v>20:21:11.492</v>
      </c>
      <c r="T382" t="str">
        <f>"20:21:11.392"</f>
        <v>20:21:11.392</v>
      </c>
      <c r="U382" t="str">
        <f t="shared" si="43"/>
        <v>AA0632</v>
      </c>
      <c r="V382">
        <v>0</v>
      </c>
      <c r="W382">
        <v>0</v>
      </c>
      <c r="X382">
        <v>2</v>
      </c>
      <c r="Y382">
        <v>0</v>
      </c>
      <c r="AA382">
        <v>0</v>
      </c>
      <c r="AB382">
        <v>9</v>
      </c>
      <c r="AC382">
        <v>3</v>
      </c>
      <c r="AD382">
        <v>0</v>
      </c>
      <c r="AE382">
        <v>10</v>
      </c>
      <c r="AF382" t="s">
        <v>126</v>
      </c>
      <c r="AG382">
        <v>0</v>
      </c>
      <c r="AH382">
        <v>0</v>
      </c>
      <c r="AI382">
        <v>2</v>
      </c>
      <c r="AJ382">
        <v>0</v>
      </c>
      <c r="AK382" t="s">
        <v>322</v>
      </c>
      <c r="AL382">
        <v>31.956675000000001</v>
      </c>
      <c r="AM382" t="s">
        <v>323</v>
      </c>
      <c r="AN382">
        <v>-101.120632</v>
      </c>
      <c r="AQ382" t="s">
        <v>129</v>
      </c>
      <c r="AR382">
        <v>79</v>
      </c>
      <c r="AS382">
        <v>-43</v>
      </c>
      <c r="AT382">
        <v>-320</v>
      </c>
      <c r="BB382" t="str">
        <f t="shared" si="44"/>
        <v>1200</v>
      </c>
      <c r="BC382">
        <v>1</v>
      </c>
      <c r="BD382" t="str">
        <f t="shared" si="46"/>
        <v xml:space="preserve">N745MB  </v>
      </c>
      <c r="BE382">
        <v>1</v>
      </c>
      <c r="BG382">
        <v>0</v>
      </c>
      <c r="BH382">
        <v>0</v>
      </c>
      <c r="BI382">
        <v>0</v>
      </c>
      <c r="BL382" t="s">
        <v>130</v>
      </c>
      <c r="BM382">
        <v>1</v>
      </c>
      <c r="BN382">
        <v>0</v>
      </c>
      <c r="BO382">
        <v>0</v>
      </c>
      <c r="BP382">
        <v>0</v>
      </c>
      <c r="BT382">
        <v>0</v>
      </c>
      <c r="BU382">
        <v>0</v>
      </c>
      <c r="CE382" t="str">
        <f>"20:21:11.498"</f>
        <v>20:21:11.498</v>
      </c>
      <c r="CF382">
        <v>497704728</v>
      </c>
      <c r="CS382">
        <v>0</v>
      </c>
      <c r="CT382">
        <v>2</v>
      </c>
      <c r="CU382">
        <v>0</v>
      </c>
      <c r="CV382">
        <v>2</v>
      </c>
      <c r="CW382">
        <v>0</v>
      </c>
      <c r="CX382">
        <v>3</v>
      </c>
      <c r="CY382">
        <v>7</v>
      </c>
      <c r="CZ382" t="s">
        <v>131</v>
      </c>
      <c r="DA382">
        <v>116</v>
      </c>
      <c r="DB382">
        <v>3</v>
      </c>
      <c r="DC382" t="s">
        <v>132</v>
      </c>
      <c r="DD382" t="s">
        <v>133</v>
      </c>
      <c r="DG382">
        <v>8256919</v>
      </c>
      <c r="DI382">
        <v>0</v>
      </c>
      <c r="DJ382">
        <v>0</v>
      </c>
      <c r="DK382">
        <v>1</v>
      </c>
      <c r="DL382">
        <v>0</v>
      </c>
      <c r="DM382">
        <v>0</v>
      </c>
      <c r="DN382">
        <v>0</v>
      </c>
      <c r="DO382">
        <v>0</v>
      </c>
      <c r="DP382">
        <v>1</v>
      </c>
      <c r="DQ382">
        <v>0</v>
      </c>
      <c r="DR382">
        <v>0</v>
      </c>
      <c r="DS382">
        <v>0</v>
      </c>
    </row>
    <row r="383" spans="1:123" x14ac:dyDescent="0.25">
      <c r="A383" t="str">
        <f>"11/29/2023 20:21:11.836"</f>
        <v>11/29/2023 20:21:11.836</v>
      </c>
      <c r="C383" t="str">
        <f t="shared" si="49"/>
        <v>FFDF53C0</v>
      </c>
      <c r="D383" t="s">
        <v>123</v>
      </c>
      <c r="E383">
        <v>1</v>
      </c>
      <c r="F383">
        <v>1001</v>
      </c>
      <c r="G383" t="s">
        <v>134</v>
      </c>
      <c r="J383" t="s">
        <v>125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"20:21:11.492"</f>
        <v>20:21:11.492</v>
      </c>
      <c r="T383" t="str">
        <f>"20:21:11.392"</f>
        <v>20:21:11.392</v>
      </c>
      <c r="U383" t="str">
        <f t="shared" si="43"/>
        <v>AA0632</v>
      </c>
      <c r="V383">
        <v>0</v>
      </c>
      <c r="W383">
        <v>0</v>
      </c>
      <c r="X383">
        <v>2</v>
      </c>
      <c r="Y383">
        <v>0</v>
      </c>
      <c r="AA383">
        <v>0</v>
      </c>
      <c r="AB383">
        <v>9</v>
      </c>
      <c r="AC383">
        <v>3</v>
      </c>
      <c r="AD383">
        <v>0</v>
      </c>
      <c r="AE383">
        <v>10</v>
      </c>
      <c r="AF383" t="s">
        <v>126</v>
      </c>
      <c r="AG383">
        <v>0</v>
      </c>
      <c r="AH383">
        <v>0</v>
      </c>
      <c r="AI383">
        <v>2</v>
      </c>
      <c r="AJ383">
        <v>0</v>
      </c>
      <c r="AK383" t="s">
        <v>322</v>
      </c>
      <c r="AL383">
        <v>31.956675000000001</v>
      </c>
      <c r="AM383" t="s">
        <v>323</v>
      </c>
      <c r="AN383">
        <v>-101.120632</v>
      </c>
      <c r="AQ383" t="s">
        <v>129</v>
      </c>
      <c r="AR383">
        <v>79</v>
      </c>
      <c r="AS383">
        <v>-43</v>
      </c>
      <c r="AT383">
        <v>-320</v>
      </c>
      <c r="BB383" t="str">
        <f t="shared" si="44"/>
        <v>1200</v>
      </c>
      <c r="BC383">
        <v>1</v>
      </c>
      <c r="BD383" t="str">
        <f t="shared" si="46"/>
        <v xml:space="preserve">N745MB  </v>
      </c>
      <c r="BE383">
        <v>1</v>
      </c>
      <c r="BG383">
        <v>0</v>
      </c>
      <c r="BH383">
        <v>0</v>
      </c>
      <c r="BI383">
        <v>0</v>
      </c>
      <c r="BL383" t="s">
        <v>130</v>
      </c>
      <c r="BM383">
        <v>1</v>
      </c>
      <c r="BN383">
        <v>0</v>
      </c>
      <c r="BO383">
        <v>0</v>
      </c>
      <c r="BP383">
        <v>0</v>
      </c>
      <c r="BT383">
        <v>0</v>
      </c>
      <c r="BU383">
        <v>0</v>
      </c>
      <c r="CE383" t="str">
        <f>"20:21:11.498"</f>
        <v>20:21:11.498</v>
      </c>
      <c r="CF383">
        <v>497704728</v>
      </c>
      <c r="CS383">
        <v>0</v>
      </c>
      <c r="CT383">
        <v>2</v>
      </c>
      <c r="CU383">
        <v>0</v>
      </c>
      <c r="CV383">
        <v>2</v>
      </c>
      <c r="CW383">
        <v>0</v>
      </c>
      <c r="CX383">
        <v>3</v>
      </c>
      <c r="CY383">
        <v>7</v>
      </c>
      <c r="CZ383" t="s">
        <v>131</v>
      </c>
      <c r="DA383">
        <v>116</v>
      </c>
      <c r="DB383">
        <v>3</v>
      </c>
      <c r="DC383" t="s">
        <v>132</v>
      </c>
      <c r="DD383" t="s">
        <v>133</v>
      </c>
      <c r="DG383">
        <v>8256919</v>
      </c>
      <c r="DI383">
        <v>0</v>
      </c>
      <c r="DJ383">
        <v>0</v>
      </c>
      <c r="DK383">
        <v>1</v>
      </c>
      <c r="DL383">
        <v>0</v>
      </c>
      <c r="DM383">
        <v>0</v>
      </c>
      <c r="DN383">
        <v>0</v>
      </c>
      <c r="DO383">
        <v>0</v>
      </c>
      <c r="DP383">
        <v>1</v>
      </c>
      <c r="DQ383">
        <v>0</v>
      </c>
      <c r="DR383">
        <v>0</v>
      </c>
      <c r="DS383">
        <v>0</v>
      </c>
    </row>
    <row r="384" spans="1:123" x14ac:dyDescent="0.25">
      <c r="A384" t="str">
        <f>"11/29/2023 20:21:12.992"</f>
        <v>11/29/2023 20:21:12.992</v>
      </c>
      <c r="C384" t="str">
        <f t="shared" si="49"/>
        <v>FFDF53C0</v>
      </c>
      <c r="D384" t="s">
        <v>123</v>
      </c>
      <c r="E384">
        <v>14</v>
      </c>
      <c r="F384">
        <v>1014</v>
      </c>
      <c r="G384" t="s">
        <v>124</v>
      </c>
      <c r="J384" t="s">
        <v>125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"20:21:12.594"</f>
        <v>20:21:12.594</v>
      </c>
      <c r="T384" t="str">
        <f>"20:21:12.394"</f>
        <v>20:21:12.394</v>
      </c>
      <c r="U384" t="str">
        <f t="shared" si="43"/>
        <v>AA0632</v>
      </c>
      <c r="V384">
        <v>0</v>
      </c>
      <c r="W384">
        <v>0</v>
      </c>
      <c r="X384">
        <v>2</v>
      </c>
      <c r="Y384">
        <v>0</v>
      </c>
      <c r="AA384">
        <v>0</v>
      </c>
      <c r="AB384">
        <v>9</v>
      </c>
      <c r="AC384">
        <v>3</v>
      </c>
      <c r="AD384">
        <v>0</v>
      </c>
      <c r="AE384">
        <v>10</v>
      </c>
      <c r="AF384" t="s">
        <v>126</v>
      </c>
      <c r="AG384">
        <v>0</v>
      </c>
      <c r="AH384">
        <v>0</v>
      </c>
      <c r="AI384">
        <v>2</v>
      </c>
      <c r="AJ384">
        <v>0</v>
      </c>
      <c r="AK384" t="s">
        <v>324</v>
      </c>
      <c r="AL384">
        <v>31.956482000000001</v>
      </c>
      <c r="AM384" t="s">
        <v>325</v>
      </c>
      <c r="AN384">
        <v>-101.120181</v>
      </c>
      <c r="AQ384" t="s">
        <v>129</v>
      </c>
      <c r="AR384">
        <v>80</v>
      </c>
      <c r="AS384">
        <v>-43</v>
      </c>
      <c r="AT384">
        <v>-320</v>
      </c>
      <c r="BB384" t="str">
        <f t="shared" si="44"/>
        <v>1200</v>
      </c>
      <c r="BC384">
        <v>1</v>
      </c>
      <c r="BD384" t="str">
        <f t="shared" si="46"/>
        <v xml:space="preserve">N745MB  </v>
      </c>
      <c r="BE384">
        <v>1</v>
      </c>
      <c r="BG384">
        <v>0</v>
      </c>
      <c r="BH384">
        <v>0</v>
      </c>
      <c r="BI384">
        <v>0</v>
      </c>
      <c r="BL384" t="s">
        <v>130</v>
      </c>
      <c r="BM384">
        <v>1</v>
      </c>
      <c r="BN384">
        <v>0</v>
      </c>
      <c r="BO384">
        <v>0</v>
      </c>
      <c r="BP384">
        <v>0</v>
      </c>
      <c r="BT384">
        <v>0</v>
      </c>
      <c r="BU384">
        <v>0</v>
      </c>
      <c r="CE384" t="str">
        <f>"20:21:12.598"</f>
        <v>20:21:12.598</v>
      </c>
      <c r="CF384">
        <v>597606727</v>
      </c>
      <c r="CS384">
        <v>0</v>
      </c>
      <c r="CT384">
        <v>2</v>
      </c>
      <c r="CU384">
        <v>0</v>
      </c>
      <c r="CV384">
        <v>2</v>
      </c>
      <c r="CW384">
        <v>0</v>
      </c>
      <c r="CX384">
        <v>3</v>
      </c>
      <c r="CY384">
        <v>7</v>
      </c>
      <c r="CZ384" t="s">
        <v>131</v>
      </c>
      <c r="DA384">
        <v>116</v>
      </c>
      <c r="DB384">
        <v>3</v>
      </c>
      <c r="DC384" t="s">
        <v>132</v>
      </c>
      <c r="DD384" t="s">
        <v>133</v>
      </c>
      <c r="DG384">
        <v>8257575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1</v>
      </c>
      <c r="DQ384">
        <v>0</v>
      </c>
      <c r="DR384">
        <v>0</v>
      </c>
      <c r="DS384">
        <v>0</v>
      </c>
    </row>
    <row r="385" spans="1:123" x14ac:dyDescent="0.25">
      <c r="A385" t="str">
        <f>"11/29/2023 20:21:12.992"</f>
        <v>11/29/2023 20:21:12.992</v>
      </c>
      <c r="C385" t="str">
        <f t="shared" si="49"/>
        <v>FFDF53C0</v>
      </c>
      <c r="D385" t="s">
        <v>123</v>
      </c>
      <c r="E385">
        <v>1</v>
      </c>
      <c r="F385">
        <v>1001</v>
      </c>
      <c r="G385" t="s">
        <v>134</v>
      </c>
      <c r="J385" t="s">
        <v>125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"20:21:12.594"</f>
        <v>20:21:12.594</v>
      </c>
      <c r="T385" t="str">
        <f>"20:21:12.394"</f>
        <v>20:21:12.394</v>
      </c>
      <c r="U385" t="str">
        <f t="shared" si="43"/>
        <v>AA0632</v>
      </c>
      <c r="V385">
        <v>0</v>
      </c>
      <c r="W385">
        <v>0</v>
      </c>
      <c r="X385">
        <v>2</v>
      </c>
      <c r="Y385">
        <v>0</v>
      </c>
      <c r="AA385">
        <v>0</v>
      </c>
      <c r="AB385">
        <v>9</v>
      </c>
      <c r="AC385">
        <v>3</v>
      </c>
      <c r="AD385">
        <v>0</v>
      </c>
      <c r="AE385">
        <v>10</v>
      </c>
      <c r="AF385" t="s">
        <v>126</v>
      </c>
      <c r="AG385">
        <v>0</v>
      </c>
      <c r="AH385">
        <v>0</v>
      </c>
      <c r="AI385">
        <v>2</v>
      </c>
      <c r="AJ385">
        <v>0</v>
      </c>
      <c r="AK385" t="s">
        <v>324</v>
      </c>
      <c r="AL385">
        <v>31.956482000000001</v>
      </c>
      <c r="AM385" t="s">
        <v>325</v>
      </c>
      <c r="AN385">
        <v>-101.120181</v>
      </c>
      <c r="AQ385" t="s">
        <v>129</v>
      </c>
      <c r="AR385">
        <v>80</v>
      </c>
      <c r="AS385">
        <v>-43</v>
      </c>
      <c r="AT385">
        <v>-320</v>
      </c>
      <c r="BB385" t="str">
        <f t="shared" si="44"/>
        <v>1200</v>
      </c>
      <c r="BC385">
        <v>1</v>
      </c>
      <c r="BD385" t="str">
        <f t="shared" si="46"/>
        <v xml:space="preserve">N745MB  </v>
      </c>
      <c r="BE385">
        <v>1</v>
      </c>
      <c r="BG385">
        <v>0</v>
      </c>
      <c r="BH385">
        <v>0</v>
      </c>
      <c r="BI385">
        <v>0</v>
      </c>
      <c r="BL385" t="s">
        <v>130</v>
      </c>
      <c r="BM385">
        <v>1</v>
      </c>
      <c r="BN385">
        <v>0</v>
      </c>
      <c r="BO385">
        <v>0</v>
      </c>
      <c r="BP385">
        <v>0</v>
      </c>
      <c r="BT385">
        <v>0</v>
      </c>
      <c r="BU385">
        <v>0</v>
      </c>
      <c r="CE385" t="str">
        <f>"20:21:12.598"</f>
        <v>20:21:12.598</v>
      </c>
      <c r="CF385">
        <v>597606727</v>
      </c>
      <c r="CS385">
        <v>0</v>
      </c>
      <c r="CT385">
        <v>2</v>
      </c>
      <c r="CU385">
        <v>0</v>
      </c>
      <c r="CV385">
        <v>2</v>
      </c>
      <c r="CW385">
        <v>0</v>
      </c>
      <c r="CX385">
        <v>3</v>
      </c>
      <c r="CY385">
        <v>7</v>
      </c>
      <c r="CZ385" t="s">
        <v>131</v>
      </c>
      <c r="DA385">
        <v>116</v>
      </c>
      <c r="DB385">
        <v>3</v>
      </c>
      <c r="DC385" t="s">
        <v>132</v>
      </c>
      <c r="DD385" t="s">
        <v>133</v>
      </c>
      <c r="DG385">
        <v>8257575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1</v>
      </c>
      <c r="DQ385">
        <v>0</v>
      </c>
      <c r="DR385">
        <v>0</v>
      </c>
      <c r="DS385">
        <v>0</v>
      </c>
    </row>
    <row r="386" spans="1:123" x14ac:dyDescent="0.25">
      <c r="A386" t="str">
        <f>"11/29/2023 20:21:12.992"</f>
        <v>11/29/2023 20:21:12.992</v>
      </c>
      <c r="C386" t="str">
        <f t="shared" si="49"/>
        <v>FFDF53C0</v>
      </c>
      <c r="D386" t="s">
        <v>135</v>
      </c>
      <c r="E386">
        <v>31</v>
      </c>
      <c r="H386">
        <v>285</v>
      </c>
      <c r="I386" t="s">
        <v>136</v>
      </c>
      <c r="J386" t="s">
        <v>137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"20:21:12.594"</f>
        <v>20:21:12.594</v>
      </c>
      <c r="T386" t="str">
        <f>"20:21:12.394"</f>
        <v>20:21:12.394</v>
      </c>
      <c r="U386" t="str">
        <f t="shared" ref="U386:U449" si="50">"AA0632"</f>
        <v>AA0632</v>
      </c>
      <c r="V386">
        <v>0</v>
      </c>
      <c r="W386">
        <v>0</v>
      </c>
      <c r="X386">
        <v>2</v>
      </c>
      <c r="Y386">
        <v>0</v>
      </c>
      <c r="AA386">
        <v>0</v>
      </c>
      <c r="AB386">
        <v>9</v>
      </c>
      <c r="AC386">
        <v>3</v>
      </c>
      <c r="AD386">
        <v>0</v>
      </c>
      <c r="AE386">
        <v>10</v>
      </c>
      <c r="AF386" t="s">
        <v>126</v>
      </c>
      <c r="AG386">
        <v>0</v>
      </c>
      <c r="AH386">
        <v>0</v>
      </c>
      <c r="AI386">
        <v>2</v>
      </c>
      <c r="AJ386">
        <v>0</v>
      </c>
      <c r="AK386" t="s">
        <v>324</v>
      </c>
      <c r="AL386">
        <v>31.956482000000001</v>
      </c>
      <c r="AM386" t="s">
        <v>325</v>
      </c>
      <c r="AN386">
        <v>-101.120181</v>
      </c>
      <c r="AQ386" t="s">
        <v>129</v>
      </c>
      <c r="AR386">
        <v>80</v>
      </c>
      <c r="AS386">
        <v>-43</v>
      </c>
      <c r="AT386">
        <v>-320</v>
      </c>
      <c r="BB386" t="str">
        <f t="shared" ref="BB386:BB449" si="51">"1200"</f>
        <v>1200</v>
      </c>
      <c r="BC386">
        <v>1</v>
      </c>
      <c r="BD386" t="str">
        <f t="shared" si="46"/>
        <v xml:space="preserve">N745MB  </v>
      </c>
      <c r="BE386">
        <v>1</v>
      </c>
      <c r="BG386">
        <v>0</v>
      </c>
      <c r="BH386">
        <v>0</v>
      </c>
      <c r="BI386">
        <v>0</v>
      </c>
      <c r="BL386" t="s">
        <v>130</v>
      </c>
      <c r="BM386">
        <v>1</v>
      </c>
      <c r="BN386">
        <v>0</v>
      </c>
      <c r="BO386">
        <v>0</v>
      </c>
      <c r="BP386">
        <v>0</v>
      </c>
      <c r="BT386">
        <v>0</v>
      </c>
      <c r="BU386">
        <v>0</v>
      </c>
      <c r="CE386" t="str">
        <f>"20:21:12.598"</f>
        <v>20:21:12.598</v>
      </c>
      <c r="CF386">
        <v>597606727</v>
      </c>
      <c r="CS386">
        <v>0</v>
      </c>
      <c r="CT386">
        <v>2</v>
      </c>
      <c r="CU386">
        <v>0</v>
      </c>
      <c r="CV386">
        <v>2</v>
      </c>
      <c r="CW386">
        <v>0</v>
      </c>
      <c r="CX386">
        <v>3</v>
      </c>
      <c r="CY386">
        <v>7</v>
      </c>
      <c r="CZ386" t="s">
        <v>131</v>
      </c>
      <c r="DA386">
        <v>116</v>
      </c>
      <c r="DB386">
        <v>3</v>
      </c>
      <c r="DC386" t="s">
        <v>132</v>
      </c>
      <c r="DD386" t="s">
        <v>133</v>
      </c>
      <c r="DG386">
        <v>8257575</v>
      </c>
      <c r="DI386">
        <v>0</v>
      </c>
      <c r="DJ386">
        <v>0</v>
      </c>
      <c r="DK386">
        <v>1</v>
      </c>
      <c r="DL386">
        <v>0</v>
      </c>
      <c r="DM386">
        <v>0</v>
      </c>
      <c r="DN386">
        <v>0</v>
      </c>
      <c r="DO386">
        <v>0</v>
      </c>
      <c r="DP386">
        <v>1</v>
      </c>
      <c r="DQ386">
        <v>0</v>
      </c>
      <c r="DR386">
        <v>0</v>
      </c>
      <c r="DS386">
        <v>0</v>
      </c>
    </row>
    <row r="387" spans="1:123" x14ac:dyDescent="0.25">
      <c r="A387" t="str">
        <f>"11/29/2023 20:21:12.992"</f>
        <v>11/29/2023 20:21:12.992</v>
      </c>
      <c r="C387" t="str">
        <f t="shared" si="49"/>
        <v>FFDF53C0</v>
      </c>
      <c r="D387" t="s">
        <v>138</v>
      </c>
      <c r="E387">
        <v>3</v>
      </c>
      <c r="H387">
        <v>160</v>
      </c>
      <c r="I387" t="s">
        <v>124</v>
      </c>
      <c r="J387" t="s">
        <v>139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"20:21:12.594"</f>
        <v>20:21:12.594</v>
      </c>
      <c r="T387" t="str">
        <f>"20:21:12.394"</f>
        <v>20:21:12.394</v>
      </c>
      <c r="U387" t="str">
        <f t="shared" si="50"/>
        <v>AA0632</v>
      </c>
      <c r="V387">
        <v>0</v>
      </c>
      <c r="W387">
        <v>0</v>
      </c>
      <c r="X387">
        <v>2</v>
      </c>
      <c r="Y387">
        <v>0</v>
      </c>
      <c r="AA387">
        <v>0</v>
      </c>
      <c r="AB387">
        <v>9</v>
      </c>
      <c r="AC387">
        <v>3</v>
      </c>
      <c r="AD387">
        <v>0</v>
      </c>
      <c r="AE387">
        <v>10</v>
      </c>
      <c r="AF387" t="s">
        <v>126</v>
      </c>
      <c r="AG387">
        <v>0</v>
      </c>
      <c r="AH387">
        <v>0</v>
      </c>
      <c r="AI387">
        <v>2</v>
      </c>
      <c r="AJ387">
        <v>0</v>
      </c>
      <c r="AK387" t="s">
        <v>324</v>
      </c>
      <c r="AL387">
        <v>31.956482000000001</v>
      </c>
      <c r="AM387" t="s">
        <v>325</v>
      </c>
      <c r="AN387">
        <v>-101.120181</v>
      </c>
      <c r="AQ387" t="s">
        <v>129</v>
      </c>
      <c r="AR387">
        <v>80</v>
      </c>
      <c r="AS387">
        <v>-43</v>
      </c>
      <c r="AT387">
        <v>-320</v>
      </c>
      <c r="BB387" t="str">
        <f t="shared" si="51"/>
        <v>1200</v>
      </c>
      <c r="BC387">
        <v>1</v>
      </c>
      <c r="BD387" t="str">
        <f t="shared" si="46"/>
        <v xml:space="preserve">N745MB  </v>
      </c>
      <c r="BE387">
        <v>1</v>
      </c>
      <c r="BG387">
        <v>0</v>
      </c>
      <c r="BH387">
        <v>0</v>
      </c>
      <c r="BI387">
        <v>0</v>
      </c>
      <c r="BL387" t="s">
        <v>130</v>
      </c>
      <c r="BM387">
        <v>1</v>
      </c>
      <c r="BN387">
        <v>0</v>
      </c>
      <c r="BO387">
        <v>0</v>
      </c>
      <c r="BP387">
        <v>0</v>
      </c>
      <c r="BT387">
        <v>0</v>
      </c>
      <c r="BU387">
        <v>0</v>
      </c>
      <c r="CE387" t="str">
        <f>"20:21:12.598"</f>
        <v>20:21:12.598</v>
      </c>
      <c r="CF387">
        <v>597606727</v>
      </c>
      <c r="CS387">
        <v>0</v>
      </c>
      <c r="CT387">
        <v>2</v>
      </c>
      <c r="CU387">
        <v>0</v>
      </c>
      <c r="CV387">
        <v>2</v>
      </c>
      <c r="CW387">
        <v>0</v>
      </c>
      <c r="CX387">
        <v>3</v>
      </c>
      <c r="CY387">
        <v>7</v>
      </c>
      <c r="CZ387" t="s">
        <v>131</v>
      </c>
      <c r="DA387">
        <v>116</v>
      </c>
      <c r="DB387">
        <v>3</v>
      </c>
      <c r="DC387" t="s">
        <v>132</v>
      </c>
      <c r="DD387" t="s">
        <v>133</v>
      </c>
      <c r="DG387">
        <v>8257575</v>
      </c>
      <c r="DI387">
        <v>0</v>
      </c>
      <c r="DJ387">
        <v>0</v>
      </c>
      <c r="DK387">
        <v>1</v>
      </c>
      <c r="DL387">
        <v>0</v>
      </c>
      <c r="DM387">
        <v>0</v>
      </c>
      <c r="DN387">
        <v>0</v>
      </c>
      <c r="DO387">
        <v>0</v>
      </c>
      <c r="DP387">
        <v>1</v>
      </c>
      <c r="DQ387">
        <v>0</v>
      </c>
      <c r="DR387">
        <v>0</v>
      </c>
      <c r="DS387">
        <v>0</v>
      </c>
    </row>
    <row r="388" spans="1:123" x14ac:dyDescent="0.25">
      <c r="A388" t="str">
        <f>"11/29/2023 20:21:14.445"</f>
        <v>11/29/2023 20:21:14.445</v>
      </c>
      <c r="C388" t="str">
        <f t="shared" si="49"/>
        <v>FFDF53C0</v>
      </c>
      <c r="D388" t="s">
        <v>123</v>
      </c>
      <c r="E388">
        <v>14</v>
      </c>
      <c r="F388">
        <v>1014</v>
      </c>
      <c r="G388" t="s">
        <v>124</v>
      </c>
      <c r="J388" t="s">
        <v>125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"20:21:14.039"</f>
        <v>20:21:14.039</v>
      </c>
      <c r="T388" t="str">
        <f>"20:21:13.739"</f>
        <v>20:21:13.739</v>
      </c>
      <c r="U388" t="str">
        <f t="shared" si="50"/>
        <v>AA0632</v>
      </c>
      <c r="V388">
        <v>0</v>
      </c>
      <c r="W388">
        <v>0</v>
      </c>
      <c r="X388">
        <v>2</v>
      </c>
      <c r="Y388">
        <v>0</v>
      </c>
      <c r="AA388">
        <v>0</v>
      </c>
      <c r="AB388">
        <v>9</v>
      </c>
      <c r="AC388">
        <v>3</v>
      </c>
      <c r="AD388">
        <v>0</v>
      </c>
      <c r="AE388">
        <v>10</v>
      </c>
      <c r="AF388" t="s">
        <v>126</v>
      </c>
      <c r="AG388">
        <v>0</v>
      </c>
      <c r="AH388">
        <v>0</v>
      </c>
      <c r="AI388">
        <v>2</v>
      </c>
      <c r="AJ388">
        <v>0</v>
      </c>
      <c r="AK388" t="s">
        <v>326</v>
      </c>
      <c r="AL388">
        <v>31.956202999999999</v>
      </c>
      <c r="AM388" t="s">
        <v>327</v>
      </c>
      <c r="AN388">
        <v>-101.11953699999999</v>
      </c>
      <c r="AQ388" t="s">
        <v>129</v>
      </c>
      <c r="AR388">
        <v>80</v>
      </c>
      <c r="AS388">
        <v>-43</v>
      </c>
      <c r="AT388">
        <v>-256</v>
      </c>
      <c r="BB388" t="str">
        <f t="shared" si="51"/>
        <v>1200</v>
      </c>
      <c r="BC388">
        <v>1</v>
      </c>
      <c r="BD388" t="str">
        <f t="shared" si="46"/>
        <v xml:space="preserve">N745MB  </v>
      </c>
      <c r="BE388">
        <v>1</v>
      </c>
      <c r="BG388">
        <v>0</v>
      </c>
      <c r="BH388">
        <v>0</v>
      </c>
      <c r="BI388">
        <v>0</v>
      </c>
      <c r="BL388" t="s">
        <v>130</v>
      </c>
      <c r="BM388">
        <v>1</v>
      </c>
      <c r="BN388">
        <v>0</v>
      </c>
      <c r="BO388">
        <v>0</v>
      </c>
      <c r="BP388">
        <v>0</v>
      </c>
      <c r="BT388">
        <v>0</v>
      </c>
      <c r="BU388">
        <v>0</v>
      </c>
      <c r="CE388" t="str">
        <f>"20:21:14.042"</f>
        <v>20:21:14.042</v>
      </c>
      <c r="CF388">
        <v>41510497</v>
      </c>
      <c r="CS388">
        <v>0</v>
      </c>
      <c r="CT388">
        <v>2</v>
      </c>
      <c r="CU388">
        <v>0</v>
      </c>
      <c r="CV388">
        <v>2</v>
      </c>
      <c r="CW388">
        <v>0</v>
      </c>
      <c r="CX388">
        <v>3</v>
      </c>
      <c r="CY388">
        <v>7</v>
      </c>
      <c r="CZ388" t="s">
        <v>131</v>
      </c>
      <c r="DA388">
        <v>116</v>
      </c>
      <c r="DB388">
        <v>3</v>
      </c>
      <c r="DC388" t="s">
        <v>132</v>
      </c>
      <c r="DD388" t="s">
        <v>133</v>
      </c>
      <c r="DG388">
        <v>8258300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1</v>
      </c>
      <c r="DQ388">
        <v>0</v>
      </c>
      <c r="DR388">
        <v>0</v>
      </c>
      <c r="DS388">
        <v>0</v>
      </c>
    </row>
    <row r="389" spans="1:123" x14ac:dyDescent="0.25">
      <c r="A389" t="str">
        <f>"11/29/2023 20:21:14.445"</f>
        <v>11/29/2023 20:21:14.445</v>
      </c>
      <c r="C389" t="str">
        <f t="shared" si="49"/>
        <v>FFDF53C0</v>
      </c>
      <c r="D389" t="s">
        <v>123</v>
      </c>
      <c r="E389">
        <v>1</v>
      </c>
      <c r="F389">
        <v>1001</v>
      </c>
      <c r="G389" t="s">
        <v>134</v>
      </c>
      <c r="J389" t="s">
        <v>125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"20:21:14.039"</f>
        <v>20:21:14.039</v>
      </c>
      <c r="T389" t="str">
        <f>"20:21:13.739"</f>
        <v>20:21:13.739</v>
      </c>
      <c r="U389" t="str">
        <f t="shared" si="50"/>
        <v>AA0632</v>
      </c>
      <c r="V389">
        <v>0</v>
      </c>
      <c r="W389">
        <v>0</v>
      </c>
      <c r="X389">
        <v>2</v>
      </c>
      <c r="Y389">
        <v>0</v>
      </c>
      <c r="AA389">
        <v>0</v>
      </c>
      <c r="AB389">
        <v>9</v>
      </c>
      <c r="AC389">
        <v>3</v>
      </c>
      <c r="AD389">
        <v>0</v>
      </c>
      <c r="AE389">
        <v>10</v>
      </c>
      <c r="AF389" t="s">
        <v>126</v>
      </c>
      <c r="AG389">
        <v>0</v>
      </c>
      <c r="AH389">
        <v>0</v>
      </c>
      <c r="AI389">
        <v>2</v>
      </c>
      <c r="AJ389">
        <v>0</v>
      </c>
      <c r="AK389" t="s">
        <v>326</v>
      </c>
      <c r="AL389">
        <v>31.956202999999999</v>
      </c>
      <c r="AM389" t="s">
        <v>327</v>
      </c>
      <c r="AN389">
        <v>-101.11953699999999</v>
      </c>
      <c r="AQ389" t="s">
        <v>129</v>
      </c>
      <c r="AR389">
        <v>80</v>
      </c>
      <c r="AS389">
        <v>-43</v>
      </c>
      <c r="AT389">
        <v>-256</v>
      </c>
      <c r="BB389" t="str">
        <f t="shared" si="51"/>
        <v>1200</v>
      </c>
      <c r="BC389">
        <v>1</v>
      </c>
      <c r="BD389" t="str">
        <f t="shared" si="46"/>
        <v xml:space="preserve">N745MB  </v>
      </c>
      <c r="BE389">
        <v>1</v>
      </c>
      <c r="BG389">
        <v>0</v>
      </c>
      <c r="BH389">
        <v>0</v>
      </c>
      <c r="BI389">
        <v>0</v>
      </c>
      <c r="BL389" t="s">
        <v>130</v>
      </c>
      <c r="BM389">
        <v>1</v>
      </c>
      <c r="BN389">
        <v>0</v>
      </c>
      <c r="BO389">
        <v>0</v>
      </c>
      <c r="BP389">
        <v>0</v>
      </c>
      <c r="BT389">
        <v>0</v>
      </c>
      <c r="BU389">
        <v>0</v>
      </c>
      <c r="CE389" t="str">
        <f>"20:21:14.042"</f>
        <v>20:21:14.042</v>
      </c>
      <c r="CF389">
        <v>41510497</v>
      </c>
      <c r="CS389">
        <v>0</v>
      </c>
      <c r="CT389">
        <v>2</v>
      </c>
      <c r="CU389">
        <v>0</v>
      </c>
      <c r="CV389">
        <v>2</v>
      </c>
      <c r="CW389">
        <v>0</v>
      </c>
      <c r="CX389">
        <v>3</v>
      </c>
      <c r="CY389">
        <v>7</v>
      </c>
      <c r="CZ389" t="s">
        <v>131</v>
      </c>
      <c r="DA389">
        <v>116</v>
      </c>
      <c r="DB389">
        <v>3</v>
      </c>
      <c r="DC389" t="s">
        <v>132</v>
      </c>
      <c r="DD389" t="s">
        <v>133</v>
      </c>
      <c r="DG389">
        <v>8258300</v>
      </c>
      <c r="DI389">
        <v>0</v>
      </c>
      <c r="DJ389">
        <v>0</v>
      </c>
      <c r="DK389">
        <v>1</v>
      </c>
      <c r="DL389">
        <v>0</v>
      </c>
      <c r="DM389">
        <v>0</v>
      </c>
      <c r="DN389">
        <v>0</v>
      </c>
      <c r="DO389">
        <v>0</v>
      </c>
      <c r="DP389">
        <v>1</v>
      </c>
      <c r="DQ389">
        <v>0</v>
      </c>
      <c r="DR389">
        <v>0</v>
      </c>
      <c r="DS389">
        <v>0</v>
      </c>
    </row>
    <row r="390" spans="1:123" x14ac:dyDescent="0.25">
      <c r="A390" t="str">
        <f>"11/29/2023 20:21:14.445"</f>
        <v>11/29/2023 20:21:14.445</v>
      </c>
      <c r="C390" t="str">
        <f t="shared" si="49"/>
        <v>FFDF53C0</v>
      </c>
      <c r="D390" t="s">
        <v>135</v>
      </c>
      <c r="E390">
        <v>31</v>
      </c>
      <c r="H390">
        <v>285</v>
      </c>
      <c r="I390" t="s">
        <v>136</v>
      </c>
      <c r="J390" t="s">
        <v>137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"20:21:14.039"</f>
        <v>20:21:14.039</v>
      </c>
      <c r="T390" t="str">
        <f>"20:21:13.739"</f>
        <v>20:21:13.739</v>
      </c>
      <c r="U390" t="str">
        <f t="shared" si="50"/>
        <v>AA0632</v>
      </c>
      <c r="V390">
        <v>0</v>
      </c>
      <c r="W390">
        <v>0</v>
      </c>
      <c r="X390">
        <v>2</v>
      </c>
      <c r="Y390">
        <v>0</v>
      </c>
      <c r="AA390">
        <v>0</v>
      </c>
      <c r="AB390">
        <v>9</v>
      </c>
      <c r="AC390">
        <v>3</v>
      </c>
      <c r="AD390">
        <v>0</v>
      </c>
      <c r="AE390">
        <v>10</v>
      </c>
      <c r="AF390" t="s">
        <v>126</v>
      </c>
      <c r="AG390">
        <v>0</v>
      </c>
      <c r="AH390">
        <v>0</v>
      </c>
      <c r="AI390">
        <v>2</v>
      </c>
      <c r="AJ390">
        <v>0</v>
      </c>
      <c r="AK390" t="s">
        <v>326</v>
      </c>
      <c r="AL390">
        <v>31.956202999999999</v>
      </c>
      <c r="AM390" t="s">
        <v>327</v>
      </c>
      <c r="AN390">
        <v>-101.11953699999999</v>
      </c>
      <c r="AQ390" t="s">
        <v>129</v>
      </c>
      <c r="AR390">
        <v>80</v>
      </c>
      <c r="AS390">
        <v>-43</v>
      </c>
      <c r="AT390">
        <v>-256</v>
      </c>
      <c r="BB390" t="str">
        <f t="shared" si="51"/>
        <v>1200</v>
      </c>
      <c r="BC390">
        <v>1</v>
      </c>
      <c r="BD390" t="str">
        <f t="shared" si="46"/>
        <v xml:space="preserve">N745MB  </v>
      </c>
      <c r="BE390">
        <v>1</v>
      </c>
      <c r="BG390">
        <v>0</v>
      </c>
      <c r="BH390">
        <v>0</v>
      </c>
      <c r="BI390">
        <v>0</v>
      </c>
      <c r="BL390" t="s">
        <v>130</v>
      </c>
      <c r="BM390">
        <v>1</v>
      </c>
      <c r="BN390">
        <v>0</v>
      </c>
      <c r="BO390">
        <v>0</v>
      </c>
      <c r="BP390">
        <v>0</v>
      </c>
      <c r="BT390">
        <v>0</v>
      </c>
      <c r="BU390">
        <v>0</v>
      </c>
      <c r="CE390" t="str">
        <f>"20:21:14.042"</f>
        <v>20:21:14.042</v>
      </c>
      <c r="CF390">
        <v>41510497</v>
      </c>
      <c r="CS390">
        <v>0</v>
      </c>
      <c r="CT390">
        <v>2</v>
      </c>
      <c r="CU390">
        <v>0</v>
      </c>
      <c r="CV390">
        <v>2</v>
      </c>
      <c r="CW390">
        <v>0</v>
      </c>
      <c r="CX390">
        <v>3</v>
      </c>
      <c r="CY390">
        <v>7</v>
      </c>
      <c r="CZ390" t="s">
        <v>131</v>
      </c>
      <c r="DA390">
        <v>116</v>
      </c>
      <c r="DB390">
        <v>3</v>
      </c>
      <c r="DC390" t="s">
        <v>132</v>
      </c>
      <c r="DD390" t="s">
        <v>133</v>
      </c>
      <c r="DG390">
        <v>8258300</v>
      </c>
      <c r="DI390">
        <v>0</v>
      </c>
      <c r="DJ390">
        <v>0</v>
      </c>
      <c r="DK390">
        <v>1</v>
      </c>
      <c r="DL390">
        <v>0</v>
      </c>
      <c r="DM390">
        <v>0</v>
      </c>
      <c r="DN390">
        <v>0</v>
      </c>
      <c r="DO390">
        <v>0</v>
      </c>
      <c r="DP390">
        <v>1</v>
      </c>
      <c r="DQ390">
        <v>0</v>
      </c>
      <c r="DR390">
        <v>0</v>
      </c>
      <c r="DS390">
        <v>0</v>
      </c>
    </row>
    <row r="391" spans="1:123" x14ac:dyDescent="0.25">
      <c r="A391" t="str">
        <f>"11/29/2023 20:21:14.445"</f>
        <v>11/29/2023 20:21:14.445</v>
      </c>
      <c r="C391" t="str">
        <f t="shared" si="49"/>
        <v>FFDF53C0</v>
      </c>
      <c r="D391" t="s">
        <v>138</v>
      </c>
      <c r="E391">
        <v>3</v>
      </c>
      <c r="H391">
        <v>160</v>
      </c>
      <c r="I391" t="s">
        <v>124</v>
      </c>
      <c r="J391" t="s">
        <v>139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"20:21:14.039"</f>
        <v>20:21:14.039</v>
      </c>
      <c r="T391" t="str">
        <f>"20:21:13.739"</f>
        <v>20:21:13.739</v>
      </c>
      <c r="U391" t="str">
        <f t="shared" si="50"/>
        <v>AA0632</v>
      </c>
      <c r="V391">
        <v>0</v>
      </c>
      <c r="W391">
        <v>0</v>
      </c>
      <c r="X391">
        <v>2</v>
      </c>
      <c r="Y391">
        <v>0</v>
      </c>
      <c r="AA391">
        <v>0</v>
      </c>
      <c r="AB391">
        <v>9</v>
      </c>
      <c r="AC391">
        <v>3</v>
      </c>
      <c r="AD391">
        <v>0</v>
      </c>
      <c r="AE391">
        <v>10</v>
      </c>
      <c r="AF391" t="s">
        <v>126</v>
      </c>
      <c r="AG391">
        <v>0</v>
      </c>
      <c r="AH391">
        <v>0</v>
      </c>
      <c r="AI391">
        <v>2</v>
      </c>
      <c r="AJ391">
        <v>0</v>
      </c>
      <c r="AK391" t="s">
        <v>326</v>
      </c>
      <c r="AL391">
        <v>31.956202999999999</v>
      </c>
      <c r="AM391" t="s">
        <v>327</v>
      </c>
      <c r="AN391">
        <v>-101.11953699999999</v>
      </c>
      <c r="AQ391" t="s">
        <v>129</v>
      </c>
      <c r="AR391">
        <v>80</v>
      </c>
      <c r="AS391">
        <v>-43</v>
      </c>
      <c r="AT391">
        <v>-256</v>
      </c>
      <c r="BB391" t="str">
        <f t="shared" si="51"/>
        <v>1200</v>
      </c>
      <c r="BC391">
        <v>1</v>
      </c>
      <c r="BD391" t="str">
        <f t="shared" si="46"/>
        <v xml:space="preserve">N745MB  </v>
      </c>
      <c r="BE391">
        <v>1</v>
      </c>
      <c r="BG391">
        <v>0</v>
      </c>
      <c r="BH391">
        <v>0</v>
      </c>
      <c r="BI391">
        <v>0</v>
      </c>
      <c r="BL391" t="s">
        <v>130</v>
      </c>
      <c r="BM391">
        <v>1</v>
      </c>
      <c r="BN391">
        <v>0</v>
      </c>
      <c r="BO391">
        <v>0</v>
      </c>
      <c r="BP391">
        <v>0</v>
      </c>
      <c r="BT391">
        <v>0</v>
      </c>
      <c r="BU391">
        <v>0</v>
      </c>
      <c r="CE391" t="str">
        <f>"20:21:14.042"</f>
        <v>20:21:14.042</v>
      </c>
      <c r="CF391">
        <v>41510497</v>
      </c>
      <c r="CS391">
        <v>0</v>
      </c>
      <c r="CT391">
        <v>2</v>
      </c>
      <c r="CU391">
        <v>0</v>
      </c>
      <c r="CV391">
        <v>2</v>
      </c>
      <c r="CW391">
        <v>0</v>
      </c>
      <c r="CX391">
        <v>3</v>
      </c>
      <c r="CY391">
        <v>7</v>
      </c>
      <c r="CZ391" t="s">
        <v>131</v>
      </c>
      <c r="DA391">
        <v>116</v>
      </c>
      <c r="DB391">
        <v>3</v>
      </c>
      <c r="DC391" t="s">
        <v>132</v>
      </c>
      <c r="DD391" t="s">
        <v>133</v>
      </c>
      <c r="DG391">
        <v>8258300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1</v>
      </c>
      <c r="DQ391">
        <v>0</v>
      </c>
      <c r="DR391">
        <v>0</v>
      </c>
      <c r="DS391">
        <v>0</v>
      </c>
    </row>
    <row r="392" spans="1:123" x14ac:dyDescent="0.25">
      <c r="A392" t="str">
        <f>"11/29/2023 20:21:15.851"</f>
        <v>11/29/2023 20:21:15.851</v>
      </c>
      <c r="C392" t="str">
        <f t="shared" si="49"/>
        <v>FFDF53C0</v>
      </c>
      <c r="D392" t="s">
        <v>138</v>
      </c>
      <c r="E392">
        <v>3</v>
      </c>
      <c r="H392">
        <v>160</v>
      </c>
      <c r="I392" t="s">
        <v>124</v>
      </c>
      <c r="J392" t="s">
        <v>139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"20:21:15.461"</f>
        <v>20:21:15.461</v>
      </c>
      <c r="T392" t="str">
        <f>"20:21:14.161"</f>
        <v>20:21:14.161</v>
      </c>
      <c r="U392" t="str">
        <f t="shared" si="50"/>
        <v>AA0632</v>
      </c>
      <c r="V392">
        <v>0</v>
      </c>
      <c r="W392">
        <v>0</v>
      </c>
      <c r="X392">
        <v>2</v>
      </c>
      <c r="Y392">
        <v>0</v>
      </c>
      <c r="AA392">
        <v>0</v>
      </c>
      <c r="AB392">
        <v>9</v>
      </c>
      <c r="AC392">
        <v>3</v>
      </c>
      <c r="AD392">
        <v>0</v>
      </c>
      <c r="AE392">
        <v>10</v>
      </c>
      <c r="AF392" t="s">
        <v>126</v>
      </c>
      <c r="AG392">
        <v>0</v>
      </c>
      <c r="AH392">
        <v>0</v>
      </c>
      <c r="AI392">
        <v>2</v>
      </c>
      <c r="AJ392">
        <v>0</v>
      </c>
      <c r="AK392" t="s">
        <v>177</v>
      </c>
      <c r="AL392">
        <v>31.955924</v>
      </c>
      <c r="AM392" t="s">
        <v>328</v>
      </c>
      <c r="AN392">
        <v>-101.118937</v>
      </c>
      <c r="AQ392" t="s">
        <v>129</v>
      </c>
      <c r="AR392">
        <v>80</v>
      </c>
      <c r="AS392">
        <v>-42</v>
      </c>
      <c r="AT392">
        <v>-192</v>
      </c>
      <c r="BB392" t="str">
        <f t="shared" si="51"/>
        <v>1200</v>
      </c>
      <c r="BC392">
        <v>1</v>
      </c>
      <c r="BD392" t="str">
        <f t="shared" si="46"/>
        <v xml:space="preserve">N745MB  </v>
      </c>
      <c r="BE392">
        <v>1</v>
      </c>
      <c r="BG392">
        <v>0</v>
      </c>
      <c r="BH392">
        <v>0</v>
      </c>
      <c r="BI392">
        <v>0</v>
      </c>
      <c r="BL392" t="s">
        <v>130</v>
      </c>
      <c r="BM392">
        <v>1</v>
      </c>
      <c r="BN392">
        <v>0</v>
      </c>
      <c r="BO392">
        <v>0</v>
      </c>
      <c r="BP392">
        <v>0</v>
      </c>
      <c r="BT392">
        <v>0</v>
      </c>
      <c r="BU392">
        <v>0</v>
      </c>
      <c r="CE392" t="str">
        <f>"20:21:15.467"</f>
        <v>20:21:15.467</v>
      </c>
      <c r="CF392">
        <v>467415372</v>
      </c>
      <c r="CS392">
        <v>0</v>
      </c>
      <c r="CT392">
        <v>2</v>
      </c>
      <c r="CU392">
        <v>0</v>
      </c>
      <c r="CV392">
        <v>2</v>
      </c>
      <c r="CW392">
        <v>0</v>
      </c>
      <c r="CX392">
        <v>2</v>
      </c>
      <c r="CY392">
        <v>7</v>
      </c>
      <c r="CZ392" t="s">
        <v>131</v>
      </c>
      <c r="DA392">
        <v>116</v>
      </c>
      <c r="DB392">
        <v>3</v>
      </c>
      <c r="DC392" t="s">
        <v>132</v>
      </c>
      <c r="DD392" t="s">
        <v>133</v>
      </c>
      <c r="DG392">
        <v>8259121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1</v>
      </c>
      <c r="DQ392">
        <v>0</v>
      </c>
      <c r="DR392">
        <v>0</v>
      </c>
      <c r="DS392">
        <v>0</v>
      </c>
    </row>
    <row r="393" spans="1:123" x14ac:dyDescent="0.25">
      <c r="A393" t="str">
        <f>"11/29/2023 20:21:15.851"</f>
        <v>11/29/2023 20:21:15.851</v>
      </c>
      <c r="C393" t="str">
        <f t="shared" si="49"/>
        <v>FFDF53C0</v>
      </c>
      <c r="D393" t="s">
        <v>123</v>
      </c>
      <c r="E393">
        <v>14</v>
      </c>
      <c r="F393">
        <v>1014</v>
      </c>
      <c r="G393" t="s">
        <v>124</v>
      </c>
      <c r="J393" t="s">
        <v>125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"20:21:15.461"</f>
        <v>20:21:15.461</v>
      </c>
      <c r="T393" t="str">
        <f>"20:21:14.161"</f>
        <v>20:21:14.161</v>
      </c>
      <c r="U393" t="str">
        <f t="shared" si="50"/>
        <v>AA0632</v>
      </c>
      <c r="V393">
        <v>0</v>
      </c>
      <c r="W393">
        <v>0</v>
      </c>
      <c r="X393">
        <v>2</v>
      </c>
      <c r="Y393">
        <v>0</v>
      </c>
      <c r="AA393">
        <v>0</v>
      </c>
      <c r="AB393">
        <v>9</v>
      </c>
      <c r="AC393">
        <v>3</v>
      </c>
      <c r="AD393">
        <v>0</v>
      </c>
      <c r="AE393">
        <v>10</v>
      </c>
      <c r="AF393" t="s">
        <v>126</v>
      </c>
      <c r="AG393">
        <v>0</v>
      </c>
      <c r="AH393">
        <v>0</v>
      </c>
      <c r="AI393">
        <v>2</v>
      </c>
      <c r="AJ393">
        <v>0</v>
      </c>
      <c r="AK393" t="s">
        <v>177</v>
      </c>
      <c r="AL393">
        <v>31.955924</v>
      </c>
      <c r="AM393" t="s">
        <v>328</v>
      </c>
      <c r="AN393">
        <v>-101.118937</v>
      </c>
      <c r="AQ393" t="s">
        <v>129</v>
      </c>
      <c r="AR393">
        <v>80</v>
      </c>
      <c r="AS393">
        <v>-42</v>
      </c>
      <c r="AT393">
        <v>-192</v>
      </c>
      <c r="BB393" t="str">
        <f t="shared" si="51"/>
        <v>1200</v>
      </c>
      <c r="BC393">
        <v>1</v>
      </c>
      <c r="BD393" t="str">
        <f t="shared" si="46"/>
        <v xml:space="preserve">N745MB  </v>
      </c>
      <c r="BE393">
        <v>1</v>
      </c>
      <c r="BG393">
        <v>0</v>
      </c>
      <c r="BH393">
        <v>0</v>
      </c>
      <c r="BI393">
        <v>0</v>
      </c>
      <c r="BL393" t="s">
        <v>130</v>
      </c>
      <c r="BM393">
        <v>1</v>
      </c>
      <c r="BN393">
        <v>0</v>
      </c>
      <c r="BO393">
        <v>0</v>
      </c>
      <c r="BP393">
        <v>0</v>
      </c>
      <c r="BT393">
        <v>0</v>
      </c>
      <c r="BU393">
        <v>0</v>
      </c>
      <c r="CE393" t="str">
        <f>"20:21:15.467"</f>
        <v>20:21:15.467</v>
      </c>
      <c r="CF393">
        <v>467415372</v>
      </c>
      <c r="CS393">
        <v>0</v>
      </c>
      <c r="CT393">
        <v>2</v>
      </c>
      <c r="CU393">
        <v>0</v>
      </c>
      <c r="CV393">
        <v>2</v>
      </c>
      <c r="CW393">
        <v>0</v>
      </c>
      <c r="CX393">
        <v>2</v>
      </c>
      <c r="CY393">
        <v>7</v>
      </c>
      <c r="CZ393" t="s">
        <v>131</v>
      </c>
      <c r="DA393">
        <v>116</v>
      </c>
      <c r="DB393">
        <v>3</v>
      </c>
      <c r="DC393" t="s">
        <v>132</v>
      </c>
      <c r="DD393" t="s">
        <v>133</v>
      </c>
      <c r="DG393">
        <v>8259121</v>
      </c>
      <c r="DI393">
        <v>0</v>
      </c>
      <c r="DJ393">
        <v>0</v>
      </c>
      <c r="DK393">
        <v>1</v>
      </c>
      <c r="DL393">
        <v>0</v>
      </c>
      <c r="DM393">
        <v>0</v>
      </c>
      <c r="DN393">
        <v>0</v>
      </c>
      <c r="DO393">
        <v>0</v>
      </c>
      <c r="DP393">
        <v>1</v>
      </c>
      <c r="DQ393">
        <v>0</v>
      </c>
      <c r="DR393">
        <v>0</v>
      </c>
      <c r="DS393">
        <v>0</v>
      </c>
    </row>
    <row r="394" spans="1:123" x14ac:dyDescent="0.25">
      <c r="A394" t="str">
        <f>"11/29/2023 20:21:15.851"</f>
        <v>11/29/2023 20:21:15.851</v>
      </c>
      <c r="C394" t="str">
        <f t="shared" si="49"/>
        <v>FFDF53C0</v>
      </c>
      <c r="D394" t="s">
        <v>123</v>
      </c>
      <c r="E394">
        <v>1</v>
      </c>
      <c r="F394">
        <v>1001</v>
      </c>
      <c r="G394" t="s">
        <v>134</v>
      </c>
      <c r="J394" t="s">
        <v>125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"20:21:15.461"</f>
        <v>20:21:15.461</v>
      </c>
      <c r="T394" t="str">
        <f>"20:21:14.161"</f>
        <v>20:21:14.161</v>
      </c>
      <c r="U394" t="str">
        <f t="shared" si="50"/>
        <v>AA0632</v>
      </c>
      <c r="V394">
        <v>0</v>
      </c>
      <c r="W394">
        <v>0</v>
      </c>
      <c r="X394">
        <v>2</v>
      </c>
      <c r="Y394">
        <v>0</v>
      </c>
      <c r="AA394">
        <v>0</v>
      </c>
      <c r="AB394">
        <v>9</v>
      </c>
      <c r="AC394">
        <v>3</v>
      </c>
      <c r="AD394">
        <v>0</v>
      </c>
      <c r="AE394">
        <v>10</v>
      </c>
      <c r="AF394" t="s">
        <v>126</v>
      </c>
      <c r="AG394">
        <v>0</v>
      </c>
      <c r="AH394">
        <v>0</v>
      </c>
      <c r="AI394">
        <v>2</v>
      </c>
      <c r="AJ394">
        <v>0</v>
      </c>
      <c r="AK394" t="s">
        <v>177</v>
      </c>
      <c r="AL394">
        <v>31.955924</v>
      </c>
      <c r="AM394" t="s">
        <v>328</v>
      </c>
      <c r="AN394">
        <v>-101.118937</v>
      </c>
      <c r="AQ394" t="s">
        <v>129</v>
      </c>
      <c r="AR394">
        <v>80</v>
      </c>
      <c r="AS394">
        <v>-42</v>
      </c>
      <c r="AT394">
        <v>-192</v>
      </c>
      <c r="BB394" t="str">
        <f t="shared" si="51"/>
        <v>1200</v>
      </c>
      <c r="BC394">
        <v>1</v>
      </c>
      <c r="BD394" t="str">
        <f t="shared" si="46"/>
        <v xml:space="preserve">N745MB  </v>
      </c>
      <c r="BE394">
        <v>1</v>
      </c>
      <c r="BG394">
        <v>0</v>
      </c>
      <c r="BH394">
        <v>0</v>
      </c>
      <c r="BI394">
        <v>0</v>
      </c>
      <c r="BL394" t="s">
        <v>130</v>
      </c>
      <c r="BM394">
        <v>1</v>
      </c>
      <c r="BN394">
        <v>0</v>
      </c>
      <c r="BO394">
        <v>0</v>
      </c>
      <c r="BP394">
        <v>0</v>
      </c>
      <c r="BT394">
        <v>0</v>
      </c>
      <c r="BU394">
        <v>0</v>
      </c>
      <c r="CE394" t="str">
        <f>"20:21:15.467"</f>
        <v>20:21:15.467</v>
      </c>
      <c r="CF394">
        <v>467415372</v>
      </c>
      <c r="CS394">
        <v>0</v>
      </c>
      <c r="CT394">
        <v>2</v>
      </c>
      <c r="CU394">
        <v>0</v>
      </c>
      <c r="CV394">
        <v>2</v>
      </c>
      <c r="CW394">
        <v>0</v>
      </c>
      <c r="CX394">
        <v>2</v>
      </c>
      <c r="CY394">
        <v>7</v>
      </c>
      <c r="CZ394" t="s">
        <v>131</v>
      </c>
      <c r="DA394">
        <v>116</v>
      </c>
      <c r="DB394">
        <v>3</v>
      </c>
      <c r="DC394" t="s">
        <v>132</v>
      </c>
      <c r="DD394" t="s">
        <v>133</v>
      </c>
      <c r="DG394">
        <v>8259121</v>
      </c>
      <c r="DI394">
        <v>0</v>
      </c>
      <c r="DJ394">
        <v>0</v>
      </c>
      <c r="DK394">
        <v>1</v>
      </c>
      <c r="DL394">
        <v>0</v>
      </c>
      <c r="DM394">
        <v>0</v>
      </c>
      <c r="DN394">
        <v>0</v>
      </c>
      <c r="DO394">
        <v>0</v>
      </c>
      <c r="DP394">
        <v>1</v>
      </c>
      <c r="DQ394">
        <v>0</v>
      </c>
      <c r="DR394">
        <v>0</v>
      </c>
      <c r="DS394">
        <v>0</v>
      </c>
    </row>
    <row r="395" spans="1:123" x14ac:dyDescent="0.25">
      <c r="A395" t="str">
        <f>"11/29/2023 20:21:15.851"</f>
        <v>11/29/2023 20:21:15.851</v>
      </c>
      <c r="C395" t="str">
        <f t="shared" si="49"/>
        <v>FFDF53C0</v>
      </c>
      <c r="D395" t="s">
        <v>135</v>
      </c>
      <c r="E395">
        <v>31</v>
      </c>
      <c r="H395">
        <v>285</v>
      </c>
      <c r="I395" t="s">
        <v>136</v>
      </c>
      <c r="J395" t="s">
        <v>137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"20:21:15.461"</f>
        <v>20:21:15.461</v>
      </c>
      <c r="T395" t="str">
        <f>"20:21:14.161"</f>
        <v>20:21:14.161</v>
      </c>
      <c r="U395" t="str">
        <f t="shared" si="50"/>
        <v>AA0632</v>
      </c>
      <c r="V395">
        <v>0</v>
      </c>
      <c r="W395">
        <v>0</v>
      </c>
      <c r="X395">
        <v>2</v>
      </c>
      <c r="Y395">
        <v>0</v>
      </c>
      <c r="AA395">
        <v>0</v>
      </c>
      <c r="AB395">
        <v>9</v>
      </c>
      <c r="AC395">
        <v>3</v>
      </c>
      <c r="AD395">
        <v>0</v>
      </c>
      <c r="AE395">
        <v>10</v>
      </c>
      <c r="AF395" t="s">
        <v>126</v>
      </c>
      <c r="AG395">
        <v>0</v>
      </c>
      <c r="AH395">
        <v>0</v>
      </c>
      <c r="AI395">
        <v>2</v>
      </c>
      <c r="AJ395">
        <v>0</v>
      </c>
      <c r="AK395" t="s">
        <v>177</v>
      </c>
      <c r="AL395">
        <v>31.955924</v>
      </c>
      <c r="AM395" t="s">
        <v>328</v>
      </c>
      <c r="AN395">
        <v>-101.118937</v>
      </c>
      <c r="AQ395" t="s">
        <v>129</v>
      </c>
      <c r="AR395">
        <v>80</v>
      </c>
      <c r="AS395">
        <v>-42</v>
      </c>
      <c r="AT395">
        <v>-192</v>
      </c>
      <c r="BB395" t="str">
        <f t="shared" si="51"/>
        <v>1200</v>
      </c>
      <c r="BC395">
        <v>1</v>
      </c>
      <c r="BD395" t="str">
        <f t="shared" si="46"/>
        <v xml:space="preserve">N745MB  </v>
      </c>
      <c r="BE395">
        <v>1</v>
      </c>
      <c r="BG395">
        <v>0</v>
      </c>
      <c r="BH395">
        <v>0</v>
      </c>
      <c r="BI395">
        <v>0</v>
      </c>
      <c r="BL395" t="s">
        <v>130</v>
      </c>
      <c r="BM395">
        <v>1</v>
      </c>
      <c r="BN395">
        <v>0</v>
      </c>
      <c r="BO395">
        <v>0</v>
      </c>
      <c r="BP395">
        <v>0</v>
      </c>
      <c r="BT395">
        <v>0</v>
      </c>
      <c r="BU395">
        <v>0</v>
      </c>
      <c r="CE395" t="str">
        <f>"20:21:15.467"</f>
        <v>20:21:15.467</v>
      </c>
      <c r="CF395">
        <v>467415372</v>
      </c>
      <c r="CS395">
        <v>0</v>
      </c>
      <c r="CT395">
        <v>2</v>
      </c>
      <c r="CU395">
        <v>0</v>
      </c>
      <c r="CV395">
        <v>2</v>
      </c>
      <c r="CW395">
        <v>0</v>
      </c>
      <c r="CX395">
        <v>2</v>
      </c>
      <c r="CY395">
        <v>7</v>
      </c>
      <c r="CZ395" t="s">
        <v>131</v>
      </c>
      <c r="DA395">
        <v>116</v>
      </c>
      <c r="DB395">
        <v>3</v>
      </c>
      <c r="DC395" t="s">
        <v>132</v>
      </c>
      <c r="DD395" t="s">
        <v>133</v>
      </c>
      <c r="DG395">
        <v>8259121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1</v>
      </c>
      <c r="DQ395">
        <v>0</v>
      </c>
      <c r="DR395">
        <v>0</v>
      </c>
      <c r="DS395">
        <v>0</v>
      </c>
    </row>
    <row r="396" spans="1:123" x14ac:dyDescent="0.25">
      <c r="A396" t="str">
        <f>"11/29/2023 20:21:16.836"</f>
        <v>11/29/2023 20:21:16.836</v>
      </c>
      <c r="C396" t="str">
        <f t="shared" si="49"/>
        <v>FFDF53C0</v>
      </c>
      <c r="D396" t="s">
        <v>135</v>
      </c>
      <c r="E396">
        <v>31</v>
      </c>
      <c r="H396">
        <v>285</v>
      </c>
      <c r="I396" t="s">
        <v>136</v>
      </c>
      <c r="J396" t="s">
        <v>137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"20:21:16.523"</f>
        <v>20:21:16.523</v>
      </c>
      <c r="T396" t="str">
        <f>"20:21:16.223"</f>
        <v>20:21:16.223</v>
      </c>
      <c r="U396" t="str">
        <f t="shared" si="50"/>
        <v>AA0632</v>
      </c>
      <c r="V396">
        <v>0</v>
      </c>
      <c r="W396">
        <v>0</v>
      </c>
      <c r="X396">
        <v>2</v>
      </c>
      <c r="Y396">
        <v>0</v>
      </c>
      <c r="AA396">
        <v>0</v>
      </c>
      <c r="AB396">
        <v>9</v>
      </c>
      <c r="AC396">
        <v>3</v>
      </c>
      <c r="AD396">
        <v>0</v>
      </c>
      <c r="AE396">
        <v>10</v>
      </c>
      <c r="AF396" t="s">
        <v>126</v>
      </c>
      <c r="AG396">
        <v>0</v>
      </c>
      <c r="AH396">
        <v>0</v>
      </c>
      <c r="AI396">
        <v>2</v>
      </c>
      <c r="AJ396">
        <v>0</v>
      </c>
      <c r="AK396" t="s">
        <v>329</v>
      </c>
      <c r="AL396">
        <v>31.955687999999999</v>
      </c>
      <c r="AM396" t="s">
        <v>330</v>
      </c>
      <c r="AN396">
        <v>-101.118443</v>
      </c>
      <c r="AQ396" t="s">
        <v>129</v>
      </c>
      <c r="AR396">
        <v>80</v>
      </c>
      <c r="AS396">
        <v>-43</v>
      </c>
      <c r="AT396">
        <v>-192</v>
      </c>
      <c r="BB396" t="str">
        <f t="shared" si="51"/>
        <v>1200</v>
      </c>
      <c r="BC396">
        <v>1</v>
      </c>
      <c r="BD396" t="str">
        <f t="shared" si="46"/>
        <v xml:space="preserve">N745MB  </v>
      </c>
      <c r="BE396">
        <v>1</v>
      </c>
      <c r="BG396">
        <v>0</v>
      </c>
      <c r="BH396">
        <v>0</v>
      </c>
      <c r="BI396">
        <v>0</v>
      </c>
      <c r="BL396" t="s">
        <v>130</v>
      </c>
      <c r="BM396">
        <v>1</v>
      </c>
      <c r="BN396">
        <v>0</v>
      </c>
      <c r="BO396">
        <v>0</v>
      </c>
      <c r="BP396">
        <v>0</v>
      </c>
      <c r="BT396">
        <v>0</v>
      </c>
      <c r="BU396">
        <v>0</v>
      </c>
      <c r="CE396" t="str">
        <f>"20:21:16.529"</f>
        <v>20:21:16.529</v>
      </c>
      <c r="CF396">
        <v>529340555</v>
      </c>
      <c r="CS396">
        <v>0</v>
      </c>
      <c r="CT396">
        <v>2</v>
      </c>
      <c r="CU396">
        <v>0</v>
      </c>
      <c r="CV396">
        <v>2</v>
      </c>
      <c r="CW396">
        <v>0</v>
      </c>
      <c r="CX396">
        <v>1</v>
      </c>
      <c r="CY396">
        <v>7</v>
      </c>
      <c r="CZ396" t="s">
        <v>131</v>
      </c>
      <c r="DA396">
        <v>116</v>
      </c>
      <c r="DB396">
        <v>3</v>
      </c>
      <c r="DC396" t="s">
        <v>132</v>
      </c>
      <c r="DD396" t="s">
        <v>133</v>
      </c>
      <c r="DG396">
        <v>8259739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1</v>
      </c>
      <c r="DQ396">
        <v>0</v>
      </c>
      <c r="DR396">
        <v>0</v>
      </c>
      <c r="DS396">
        <v>0</v>
      </c>
    </row>
    <row r="397" spans="1:123" x14ac:dyDescent="0.25">
      <c r="A397" t="str">
        <f>"11/29/2023 20:21:16.836"</f>
        <v>11/29/2023 20:21:16.836</v>
      </c>
      <c r="C397" t="str">
        <f t="shared" si="49"/>
        <v>FFDF53C0</v>
      </c>
      <c r="D397" t="s">
        <v>138</v>
      </c>
      <c r="E397">
        <v>3</v>
      </c>
      <c r="H397">
        <v>160</v>
      </c>
      <c r="I397" t="s">
        <v>124</v>
      </c>
      <c r="J397" t="s">
        <v>139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"20:21:16.523"</f>
        <v>20:21:16.523</v>
      </c>
      <c r="T397" t="str">
        <f>"20:21:16.223"</f>
        <v>20:21:16.223</v>
      </c>
      <c r="U397" t="str">
        <f t="shared" si="50"/>
        <v>AA0632</v>
      </c>
      <c r="V397">
        <v>0</v>
      </c>
      <c r="W397">
        <v>0</v>
      </c>
      <c r="X397">
        <v>2</v>
      </c>
      <c r="Y397">
        <v>0</v>
      </c>
      <c r="AA397">
        <v>0</v>
      </c>
      <c r="AB397">
        <v>9</v>
      </c>
      <c r="AC397">
        <v>3</v>
      </c>
      <c r="AD397">
        <v>0</v>
      </c>
      <c r="AE397">
        <v>10</v>
      </c>
      <c r="AF397" t="s">
        <v>126</v>
      </c>
      <c r="AG397">
        <v>0</v>
      </c>
      <c r="AH397">
        <v>0</v>
      </c>
      <c r="AI397">
        <v>2</v>
      </c>
      <c r="AJ397">
        <v>0</v>
      </c>
      <c r="AK397" t="s">
        <v>329</v>
      </c>
      <c r="AL397">
        <v>31.955687999999999</v>
      </c>
      <c r="AM397" t="s">
        <v>330</v>
      </c>
      <c r="AN397">
        <v>-101.118443</v>
      </c>
      <c r="AQ397" t="s">
        <v>129</v>
      </c>
      <c r="AR397">
        <v>80</v>
      </c>
      <c r="AS397">
        <v>-43</v>
      </c>
      <c r="AT397">
        <v>-192</v>
      </c>
      <c r="BB397" t="str">
        <f t="shared" si="51"/>
        <v>1200</v>
      </c>
      <c r="BC397">
        <v>1</v>
      </c>
      <c r="BD397" t="str">
        <f t="shared" si="46"/>
        <v xml:space="preserve">N745MB  </v>
      </c>
      <c r="BE397">
        <v>1</v>
      </c>
      <c r="BG397">
        <v>0</v>
      </c>
      <c r="BH397">
        <v>0</v>
      </c>
      <c r="BI397">
        <v>0</v>
      </c>
      <c r="BL397" t="s">
        <v>130</v>
      </c>
      <c r="BM397">
        <v>1</v>
      </c>
      <c r="BN397">
        <v>0</v>
      </c>
      <c r="BO397">
        <v>0</v>
      </c>
      <c r="BP397">
        <v>0</v>
      </c>
      <c r="BT397">
        <v>0</v>
      </c>
      <c r="BU397">
        <v>0</v>
      </c>
      <c r="CE397" t="str">
        <f>"20:21:16.529"</f>
        <v>20:21:16.529</v>
      </c>
      <c r="CF397">
        <v>529340555</v>
      </c>
      <c r="CS397">
        <v>0</v>
      </c>
      <c r="CT397">
        <v>2</v>
      </c>
      <c r="CU397">
        <v>0</v>
      </c>
      <c r="CV397">
        <v>2</v>
      </c>
      <c r="CW397">
        <v>0</v>
      </c>
      <c r="CX397">
        <v>1</v>
      </c>
      <c r="CY397">
        <v>7</v>
      </c>
      <c r="CZ397" t="s">
        <v>131</v>
      </c>
      <c r="DA397">
        <v>116</v>
      </c>
      <c r="DB397">
        <v>3</v>
      </c>
      <c r="DC397" t="s">
        <v>132</v>
      </c>
      <c r="DD397" t="s">
        <v>133</v>
      </c>
      <c r="DG397">
        <v>8259739</v>
      </c>
      <c r="DI397">
        <v>0</v>
      </c>
      <c r="DJ397">
        <v>0</v>
      </c>
      <c r="DK397">
        <v>1</v>
      </c>
      <c r="DL397">
        <v>0</v>
      </c>
      <c r="DM397">
        <v>0</v>
      </c>
      <c r="DN397">
        <v>0</v>
      </c>
      <c r="DO397">
        <v>0</v>
      </c>
      <c r="DP397">
        <v>1</v>
      </c>
      <c r="DQ397">
        <v>0</v>
      </c>
      <c r="DR397">
        <v>0</v>
      </c>
      <c r="DS397">
        <v>0</v>
      </c>
    </row>
    <row r="398" spans="1:123" x14ac:dyDescent="0.25">
      <c r="A398" t="str">
        <f>"11/29/2023 20:21:16.836"</f>
        <v>11/29/2023 20:21:16.836</v>
      </c>
      <c r="C398" t="str">
        <f t="shared" si="49"/>
        <v>FFDF53C0</v>
      </c>
      <c r="D398" t="s">
        <v>123</v>
      </c>
      <c r="E398">
        <v>14</v>
      </c>
      <c r="F398">
        <v>1014</v>
      </c>
      <c r="G398" t="s">
        <v>124</v>
      </c>
      <c r="J398" t="s">
        <v>125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"20:21:16.523"</f>
        <v>20:21:16.523</v>
      </c>
      <c r="T398" t="str">
        <f>"20:21:16.223"</f>
        <v>20:21:16.223</v>
      </c>
      <c r="U398" t="str">
        <f t="shared" si="50"/>
        <v>AA0632</v>
      </c>
      <c r="V398">
        <v>0</v>
      </c>
      <c r="W398">
        <v>0</v>
      </c>
      <c r="X398">
        <v>2</v>
      </c>
      <c r="Y398">
        <v>0</v>
      </c>
      <c r="AA398">
        <v>0</v>
      </c>
      <c r="AB398">
        <v>9</v>
      </c>
      <c r="AC398">
        <v>3</v>
      </c>
      <c r="AD398">
        <v>0</v>
      </c>
      <c r="AE398">
        <v>10</v>
      </c>
      <c r="AF398" t="s">
        <v>126</v>
      </c>
      <c r="AG398">
        <v>0</v>
      </c>
      <c r="AH398">
        <v>0</v>
      </c>
      <c r="AI398">
        <v>2</v>
      </c>
      <c r="AJ398">
        <v>0</v>
      </c>
      <c r="AK398" t="s">
        <v>329</v>
      </c>
      <c r="AL398">
        <v>31.955687999999999</v>
      </c>
      <c r="AM398" t="s">
        <v>330</v>
      </c>
      <c r="AN398">
        <v>-101.118443</v>
      </c>
      <c r="AQ398" t="s">
        <v>129</v>
      </c>
      <c r="AR398">
        <v>80</v>
      </c>
      <c r="AS398">
        <v>-43</v>
      </c>
      <c r="AT398">
        <v>-192</v>
      </c>
      <c r="BB398" t="str">
        <f t="shared" si="51"/>
        <v>1200</v>
      </c>
      <c r="BC398">
        <v>1</v>
      </c>
      <c r="BD398" t="str">
        <f t="shared" si="46"/>
        <v xml:space="preserve">N745MB  </v>
      </c>
      <c r="BE398">
        <v>1</v>
      </c>
      <c r="BG398">
        <v>0</v>
      </c>
      <c r="BH398">
        <v>0</v>
      </c>
      <c r="BI398">
        <v>0</v>
      </c>
      <c r="BL398" t="s">
        <v>130</v>
      </c>
      <c r="BM398">
        <v>1</v>
      </c>
      <c r="BN398">
        <v>0</v>
      </c>
      <c r="BO398">
        <v>0</v>
      </c>
      <c r="BP398">
        <v>0</v>
      </c>
      <c r="BT398">
        <v>0</v>
      </c>
      <c r="BU398">
        <v>0</v>
      </c>
      <c r="CE398" t="str">
        <f>"20:21:16.529"</f>
        <v>20:21:16.529</v>
      </c>
      <c r="CF398">
        <v>529340555</v>
      </c>
      <c r="CS398">
        <v>0</v>
      </c>
      <c r="CT398">
        <v>2</v>
      </c>
      <c r="CU398">
        <v>0</v>
      </c>
      <c r="CV398">
        <v>2</v>
      </c>
      <c r="CW398">
        <v>0</v>
      </c>
      <c r="CX398">
        <v>1</v>
      </c>
      <c r="CY398">
        <v>7</v>
      </c>
      <c r="CZ398" t="s">
        <v>131</v>
      </c>
      <c r="DA398">
        <v>116</v>
      </c>
      <c r="DB398">
        <v>3</v>
      </c>
      <c r="DC398" t="s">
        <v>132</v>
      </c>
      <c r="DD398" t="s">
        <v>133</v>
      </c>
      <c r="DG398">
        <v>8259739</v>
      </c>
      <c r="DI398">
        <v>0</v>
      </c>
      <c r="DJ398">
        <v>0</v>
      </c>
      <c r="DK398">
        <v>1</v>
      </c>
      <c r="DL398">
        <v>0</v>
      </c>
      <c r="DM398">
        <v>0</v>
      </c>
      <c r="DN398">
        <v>0</v>
      </c>
      <c r="DO398">
        <v>0</v>
      </c>
      <c r="DP398">
        <v>1</v>
      </c>
      <c r="DQ398">
        <v>0</v>
      </c>
      <c r="DR398">
        <v>0</v>
      </c>
      <c r="DS398">
        <v>0</v>
      </c>
    </row>
    <row r="399" spans="1:123" x14ac:dyDescent="0.25">
      <c r="A399" t="str">
        <f>"11/29/2023 20:21:16.836"</f>
        <v>11/29/2023 20:21:16.836</v>
      </c>
      <c r="C399" t="str">
        <f t="shared" si="49"/>
        <v>FFDF53C0</v>
      </c>
      <c r="D399" t="s">
        <v>123</v>
      </c>
      <c r="E399">
        <v>1</v>
      </c>
      <c r="F399">
        <v>1001</v>
      </c>
      <c r="G399" t="s">
        <v>134</v>
      </c>
      <c r="J399" t="s">
        <v>125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"20:21:16.523"</f>
        <v>20:21:16.523</v>
      </c>
      <c r="T399" t="str">
        <f>"20:21:16.223"</f>
        <v>20:21:16.223</v>
      </c>
      <c r="U399" t="str">
        <f t="shared" si="50"/>
        <v>AA0632</v>
      </c>
      <c r="V399">
        <v>0</v>
      </c>
      <c r="W399">
        <v>0</v>
      </c>
      <c r="X399">
        <v>2</v>
      </c>
      <c r="Y399">
        <v>0</v>
      </c>
      <c r="AA399">
        <v>0</v>
      </c>
      <c r="AB399">
        <v>9</v>
      </c>
      <c r="AC399">
        <v>3</v>
      </c>
      <c r="AD399">
        <v>0</v>
      </c>
      <c r="AE399">
        <v>10</v>
      </c>
      <c r="AF399" t="s">
        <v>126</v>
      </c>
      <c r="AG399">
        <v>0</v>
      </c>
      <c r="AH399">
        <v>0</v>
      </c>
      <c r="AI399">
        <v>2</v>
      </c>
      <c r="AJ399">
        <v>0</v>
      </c>
      <c r="AK399" t="s">
        <v>329</v>
      </c>
      <c r="AL399">
        <v>31.955687999999999</v>
      </c>
      <c r="AM399" t="s">
        <v>330</v>
      </c>
      <c r="AN399">
        <v>-101.118443</v>
      </c>
      <c r="AQ399" t="s">
        <v>129</v>
      </c>
      <c r="AR399">
        <v>80</v>
      </c>
      <c r="AS399">
        <v>-43</v>
      </c>
      <c r="AT399">
        <v>-192</v>
      </c>
      <c r="BB399" t="str">
        <f t="shared" si="51"/>
        <v>1200</v>
      </c>
      <c r="BC399">
        <v>1</v>
      </c>
      <c r="BD399" t="str">
        <f t="shared" si="46"/>
        <v xml:space="preserve">N745MB  </v>
      </c>
      <c r="BE399">
        <v>1</v>
      </c>
      <c r="BG399">
        <v>0</v>
      </c>
      <c r="BH399">
        <v>0</v>
      </c>
      <c r="BI399">
        <v>0</v>
      </c>
      <c r="BL399" t="s">
        <v>130</v>
      </c>
      <c r="BM399">
        <v>1</v>
      </c>
      <c r="BN399">
        <v>0</v>
      </c>
      <c r="BO399">
        <v>0</v>
      </c>
      <c r="BP399">
        <v>0</v>
      </c>
      <c r="BT399">
        <v>0</v>
      </c>
      <c r="BU399">
        <v>0</v>
      </c>
      <c r="CE399" t="str">
        <f>"20:21:16.529"</f>
        <v>20:21:16.529</v>
      </c>
      <c r="CF399">
        <v>529340555</v>
      </c>
      <c r="CS399">
        <v>0</v>
      </c>
      <c r="CT399">
        <v>2</v>
      </c>
      <c r="CU399">
        <v>0</v>
      </c>
      <c r="CV399">
        <v>2</v>
      </c>
      <c r="CW399">
        <v>0</v>
      </c>
      <c r="CX399">
        <v>1</v>
      </c>
      <c r="CY399">
        <v>7</v>
      </c>
      <c r="CZ399" t="s">
        <v>131</v>
      </c>
      <c r="DA399">
        <v>116</v>
      </c>
      <c r="DB399">
        <v>3</v>
      </c>
      <c r="DC399" t="s">
        <v>132</v>
      </c>
      <c r="DD399" t="s">
        <v>133</v>
      </c>
      <c r="DG399">
        <v>8259739</v>
      </c>
      <c r="DI399">
        <v>0</v>
      </c>
      <c r="DJ399">
        <v>0</v>
      </c>
      <c r="DK399">
        <v>1</v>
      </c>
      <c r="DL399">
        <v>0</v>
      </c>
      <c r="DM399">
        <v>0</v>
      </c>
      <c r="DN399">
        <v>0</v>
      </c>
      <c r="DO399">
        <v>0</v>
      </c>
      <c r="DP399">
        <v>1</v>
      </c>
      <c r="DQ399">
        <v>0</v>
      </c>
      <c r="DR399">
        <v>0</v>
      </c>
      <c r="DS399">
        <v>0</v>
      </c>
    </row>
    <row r="400" spans="1:123" x14ac:dyDescent="0.25">
      <c r="A400" t="str">
        <f>"11/29/2023 20:21:17.898"</f>
        <v>11/29/2023 20:21:17.898</v>
      </c>
      <c r="C400" t="str">
        <f t="shared" si="49"/>
        <v>FFDF53C0</v>
      </c>
      <c r="D400" t="s">
        <v>123</v>
      </c>
      <c r="E400">
        <v>14</v>
      </c>
      <c r="F400">
        <v>1014</v>
      </c>
      <c r="G400" t="s">
        <v>124</v>
      </c>
      <c r="J400" t="s">
        <v>125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"20:21:17.492"</f>
        <v>20:21:17.492</v>
      </c>
      <c r="T400" t="str">
        <f>"20:21:16.792"</f>
        <v>20:21:16.792</v>
      </c>
      <c r="U400" t="str">
        <f t="shared" si="50"/>
        <v>AA0632</v>
      </c>
      <c r="V400">
        <v>0</v>
      </c>
      <c r="W400">
        <v>0</v>
      </c>
      <c r="X400">
        <v>2</v>
      </c>
      <c r="Y400">
        <v>0</v>
      </c>
      <c r="AA400">
        <v>0</v>
      </c>
      <c r="AB400">
        <v>9</v>
      </c>
      <c r="AC400">
        <v>3</v>
      </c>
      <c r="AD400">
        <v>0</v>
      </c>
      <c r="AE400">
        <v>10</v>
      </c>
      <c r="AF400" t="s">
        <v>126</v>
      </c>
      <c r="AG400">
        <v>0</v>
      </c>
      <c r="AH400">
        <v>0</v>
      </c>
      <c r="AI400">
        <v>2</v>
      </c>
      <c r="AJ400">
        <v>0</v>
      </c>
      <c r="AK400" t="s">
        <v>331</v>
      </c>
      <c r="AL400">
        <v>31.955473000000001</v>
      </c>
      <c r="AM400" t="s">
        <v>332</v>
      </c>
      <c r="AN400">
        <v>-101.11805699999999</v>
      </c>
      <c r="AQ400" t="s">
        <v>129</v>
      </c>
      <c r="AR400">
        <v>80</v>
      </c>
      <c r="AS400">
        <v>-43</v>
      </c>
      <c r="AT400">
        <v>-256</v>
      </c>
      <c r="BB400" t="str">
        <f t="shared" si="51"/>
        <v>1200</v>
      </c>
      <c r="BC400">
        <v>1</v>
      </c>
      <c r="BD400" t="str">
        <f t="shared" si="46"/>
        <v xml:space="preserve">N745MB  </v>
      </c>
      <c r="BE400">
        <v>1</v>
      </c>
      <c r="BG400">
        <v>0</v>
      </c>
      <c r="BH400">
        <v>0</v>
      </c>
      <c r="BI400">
        <v>0</v>
      </c>
      <c r="BL400" t="s">
        <v>130</v>
      </c>
      <c r="BM400">
        <v>1</v>
      </c>
      <c r="BN400">
        <v>0</v>
      </c>
      <c r="BO400">
        <v>0</v>
      </c>
      <c r="BP400">
        <v>0</v>
      </c>
      <c r="BT400">
        <v>0</v>
      </c>
      <c r="BU400">
        <v>0</v>
      </c>
      <c r="CE400" t="str">
        <f>"20:21:17.495"</f>
        <v>20:21:17.495</v>
      </c>
      <c r="CF400">
        <v>495274686</v>
      </c>
      <c r="CS400">
        <v>0</v>
      </c>
      <c r="CT400">
        <v>2</v>
      </c>
      <c r="CU400">
        <v>0</v>
      </c>
      <c r="CV400">
        <v>2</v>
      </c>
      <c r="CW400">
        <v>0</v>
      </c>
      <c r="CX400">
        <v>1</v>
      </c>
      <c r="CY400">
        <v>7</v>
      </c>
      <c r="CZ400" t="s">
        <v>131</v>
      </c>
      <c r="DA400">
        <v>116</v>
      </c>
      <c r="DB400">
        <v>0</v>
      </c>
      <c r="DC400" t="s">
        <v>132</v>
      </c>
      <c r="DD400" t="s">
        <v>133</v>
      </c>
      <c r="DG400">
        <v>14432886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1</v>
      </c>
      <c r="DQ400">
        <v>0</v>
      </c>
      <c r="DR400">
        <v>0</v>
      </c>
      <c r="DS400">
        <v>0</v>
      </c>
    </row>
    <row r="401" spans="1:123" x14ac:dyDescent="0.25">
      <c r="A401" t="str">
        <f>"11/29/2023 20:21:17.898"</f>
        <v>11/29/2023 20:21:17.898</v>
      </c>
      <c r="C401" t="str">
        <f t="shared" si="49"/>
        <v>FFDF53C0</v>
      </c>
      <c r="D401" t="s">
        <v>123</v>
      </c>
      <c r="E401">
        <v>1</v>
      </c>
      <c r="F401">
        <v>1001</v>
      </c>
      <c r="G401" t="s">
        <v>134</v>
      </c>
      <c r="J401" t="s">
        <v>125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"20:21:17.492"</f>
        <v>20:21:17.492</v>
      </c>
      <c r="T401" t="str">
        <f>"20:21:16.792"</f>
        <v>20:21:16.792</v>
      </c>
      <c r="U401" t="str">
        <f t="shared" si="50"/>
        <v>AA0632</v>
      </c>
      <c r="V401">
        <v>0</v>
      </c>
      <c r="W401">
        <v>0</v>
      </c>
      <c r="X401">
        <v>2</v>
      </c>
      <c r="Y401">
        <v>0</v>
      </c>
      <c r="AA401">
        <v>0</v>
      </c>
      <c r="AB401">
        <v>9</v>
      </c>
      <c r="AC401">
        <v>3</v>
      </c>
      <c r="AD401">
        <v>0</v>
      </c>
      <c r="AE401">
        <v>10</v>
      </c>
      <c r="AF401" t="s">
        <v>126</v>
      </c>
      <c r="AG401">
        <v>0</v>
      </c>
      <c r="AH401">
        <v>0</v>
      </c>
      <c r="AI401">
        <v>2</v>
      </c>
      <c r="AJ401">
        <v>0</v>
      </c>
      <c r="AK401" t="s">
        <v>331</v>
      </c>
      <c r="AL401">
        <v>31.955473000000001</v>
      </c>
      <c r="AM401" t="s">
        <v>332</v>
      </c>
      <c r="AN401">
        <v>-101.11805699999999</v>
      </c>
      <c r="AQ401" t="s">
        <v>129</v>
      </c>
      <c r="AR401">
        <v>80</v>
      </c>
      <c r="AS401">
        <v>-43</v>
      </c>
      <c r="AT401">
        <v>-256</v>
      </c>
      <c r="BB401" t="str">
        <f t="shared" si="51"/>
        <v>1200</v>
      </c>
      <c r="BC401">
        <v>1</v>
      </c>
      <c r="BD401" t="str">
        <f t="shared" si="46"/>
        <v xml:space="preserve">N745MB  </v>
      </c>
      <c r="BE401">
        <v>1</v>
      </c>
      <c r="BG401">
        <v>0</v>
      </c>
      <c r="BH401">
        <v>0</v>
      </c>
      <c r="BI401">
        <v>0</v>
      </c>
      <c r="BL401" t="s">
        <v>130</v>
      </c>
      <c r="BM401">
        <v>1</v>
      </c>
      <c r="BN401">
        <v>0</v>
      </c>
      <c r="BO401">
        <v>0</v>
      </c>
      <c r="BP401">
        <v>0</v>
      </c>
      <c r="BT401">
        <v>0</v>
      </c>
      <c r="BU401">
        <v>0</v>
      </c>
      <c r="CE401" t="str">
        <f>"20:21:17.495"</f>
        <v>20:21:17.495</v>
      </c>
      <c r="CF401">
        <v>495274686</v>
      </c>
      <c r="CS401">
        <v>0</v>
      </c>
      <c r="CT401">
        <v>2</v>
      </c>
      <c r="CU401">
        <v>0</v>
      </c>
      <c r="CV401">
        <v>2</v>
      </c>
      <c r="CW401">
        <v>0</v>
      </c>
      <c r="CX401">
        <v>1</v>
      </c>
      <c r="CY401">
        <v>7</v>
      </c>
      <c r="CZ401" t="s">
        <v>131</v>
      </c>
      <c r="DA401">
        <v>116</v>
      </c>
      <c r="DB401">
        <v>0</v>
      </c>
      <c r="DC401" t="s">
        <v>132</v>
      </c>
      <c r="DD401" t="s">
        <v>133</v>
      </c>
      <c r="DG401">
        <v>14432886</v>
      </c>
      <c r="DI401">
        <v>0</v>
      </c>
      <c r="DJ401">
        <v>0</v>
      </c>
      <c r="DK401">
        <v>1</v>
      </c>
      <c r="DL401">
        <v>0</v>
      </c>
      <c r="DM401">
        <v>0</v>
      </c>
      <c r="DN401">
        <v>0</v>
      </c>
      <c r="DO401">
        <v>0</v>
      </c>
      <c r="DP401">
        <v>1</v>
      </c>
      <c r="DQ401">
        <v>0</v>
      </c>
      <c r="DR401">
        <v>0</v>
      </c>
      <c r="DS401">
        <v>0</v>
      </c>
    </row>
    <row r="402" spans="1:123" x14ac:dyDescent="0.25">
      <c r="A402" t="str">
        <f>"11/29/2023 20:21:17.898"</f>
        <v>11/29/2023 20:21:17.898</v>
      </c>
      <c r="C402" t="str">
        <f t="shared" si="49"/>
        <v>FFDF53C0</v>
      </c>
      <c r="D402" t="s">
        <v>135</v>
      </c>
      <c r="E402">
        <v>31</v>
      </c>
      <c r="H402">
        <v>285</v>
      </c>
      <c r="I402" t="s">
        <v>136</v>
      </c>
      <c r="J402" t="s">
        <v>137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"20:21:17.492"</f>
        <v>20:21:17.492</v>
      </c>
      <c r="T402" t="str">
        <f>"20:21:16.792"</f>
        <v>20:21:16.792</v>
      </c>
      <c r="U402" t="str">
        <f t="shared" si="50"/>
        <v>AA0632</v>
      </c>
      <c r="V402">
        <v>0</v>
      </c>
      <c r="W402">
        <v>0</v>
      </c>
      <c r="X402">
        <v>2</v>
      </c>
      <c r="Y402">
        <v>0</v>
      </c>
      <c r="AA402">
        <v>0</v>
      </c>
      <c r="AB402">
        <v>9</v>
      </c>
      <c r="AC402">
        <v>3</v>
      </c>
      <c r="AD402">
        <v>0</v>
      </c>
      <c r="AE402">
        <v>10</v>
      </c>
      <c r="AF402" t="s">
        <v>126</v>
      </c>
      <c r="AG402">
        <v>0</v>
      </c>
      <c r="AH402">
        <v>0</v>
      </c>
      <c r="AI402">
        <v>2</v>
      </c>
      <c r="AJ402">
        <v>0</v>
      </c>
      <c r="AK402" t="s">
        <v>331</v>
      </c>
      <c r="AL402">
        <v>31.955473000000001</v>
      </c>
      <c r="AM402" t="s">
        <v>332</v>
      </c>
      <c r="AN402">
        <v>-101.11805699999999</v>
      </c>
      <c r="AQ402" t="s">
        <v>129</v>
      </c>
      <c r="AR402">
        <v>80</v>
      </c>
      <c r="AS402">
        <v>-43</v>
      </c>
      <c r="AT402">
        <v>-256</v>
      </c>
      <c r="BB402" t="str">
        <f t="shared" si="51"/>
        <v>1200</v>
      </c>
      <c r="BC402">
        <v>1</v>
      </c>
      <c r="BD402" t="str">
        <f t="shared" ref="BD402:BD465" si="52">"N745MB  "</f>
        <v xml:space="preserve">N745MB  </v>
      </c>
      <c r="BE402">
        <v>1</v>
      </c>
      <c r="BG402">
        <v>0</v>
      </c>
      <c r="BH402">
        <v>0</v>
      </c>
      <c r="BI402">
        <v>0</v>
      </c>
      <c r="BL402" t="s">
        <v>130</v>
      </c>
      <c r="BM402">
        <v>1</v>
      </c>
      <c r="BN402">
        <v>0</v>
      </c>
      <c r="BO402">
        <v>0</v>
      </c>
      <c r="BP402">
        <v>0</v>
      </c>
      <c r="BT402">
        <v>0</v>
      </c>
      <c r="BU402">
        <v>0</v>
      </c>
      <c r="CE402" t="str">
        <f>"20:21:17.495"</f>
        <v>20:21:17.495</v>
      </c>
      <c r="CF402">
        <v>495274686</v>
      </c>
      <c r="CS402">
        <v>0</v>
      </c>
      <c r="CT402">
        <v>2</v>
      </c>
      <c r="CU402">
        <v>0</v>
      </c>
      <c r="CV402">
        <v>2</v>
      </c>
      <c r="CW402">
        <v>0</v>
      </c>
      <c r="CX402">
        <v>1</v>
      </c>
      <c r="CY402">
        <v>7</v>
      </c>
      <c r="CZ402" t="s">
        <v>131</v>
      </c>
      <c r="DA402">
        <v>116</v>
      </c>
      <c r="DB402">
        <v>0</v>
      </c>
      <c r="DC402" t="s">
        <v>132</v>
      </c>
      <c r="DD402" t="s">
        <v>133</v>
      </c>
      <c r="DG402">
        <v>14432886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1</v>
      </c>
      <c r="DQ402">
        <v>0</v>
      </c>
      <c r="DR402">
        <v>0</v>
      </c>
      <c r="DS402">
        <v>0</v>
      </c>
    </row>
    <row r="403" spans="1:123" x14ac:dyDescent="0.25">
      <c r="A403" t="str">
        <f>"11/29/2023 20:21:17.898"</f>
        <v>11/29/2023 20:21:17.898</v>
      </c>
      <c r="C403" t="str">
        <f t="shared" si="49"/>
        <v>FFDF53C0</v>
      </c>
      <c r="D403" t="s">
        <v>138</v>
      </c>
      <c r="E403">
        <v>3</v>
      </c>
      <c r="H403">
        <v>160</v>
      </c>
      <c r="I403" t="s">
        <v>124</v>
      </c>
      <c r="J403" t="s">
        <v>139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"20:21:17.492"</f>
        <v>20:21:17.492</v>
      </c>
      <c r="T403" t="str">
        <f>"20:21:16.792"</f>
        <v>20:21:16.792</v>
      </c>
      <c r="U403" t="str">
        <f t="shared" si="50"/>
        <v>AA0632</v>
      </c>
      <c r="V403">
        <v>0</v>
      </c>
      <c r="W403">
        <v>0</v>
      </c>
      <c r="X403">
        <v>2</v>
      </c>
      <c r="Y403">
        <v>0</v>
      </c>
      <c r="AA403">
        <v>0</v>
      </c>
      <c r="AB403">
        <v>9</v>
      </c>
      <c r="AC403">
        <v>3</v>
      </c>
      <c r="AD403">
        <v>0</v>
      </c>
      <c r="AE403">
        <v>10</v>
      </c>
      <c r="AF403" t="s">
        <v>126</v>
      </c>
      <c r="AG403">
        <v>0</v>
      </c>
      <c r="AH403">
        <v>0</v>
      </c>
      <c r="AI403">
        <v>2</v>
      </c>
      <c r="AJ403">
        <v>0</v>
      </c>
      <c r="AK403" t="s">
        <v>331</v>
      </c>
      <c r="AL403">
        <v>31.955473000000001</v>
      </c>
      <c r="AM403" t="s">
        <v>332</v>
      </c>
      <c r="AN403">
        <v>-101.11805699999999</v>
      </c>
      <c r="AQ403" t="s">
        <v>129</v>
      </c>
      <c r="AR403">
        <v>80</v>
      </c>
      <c r="AS403">
        <v>-43</v>
      </c>
      <c r="AT403">
        <v>-256</v>
      </c>
      <c r="BB403" t="str">
        <f t="shared" si="51"/>
        <v>1200</v>
      </c>
      <c r="BC403">
        <v>1</v>
      </c>
      <c r="BD403" t="str">
        <f t="shared" si="52"/>
        <v xml:space="preserve">N745MB  </v>
      </c>
      <c r="BE403">
        <v>1</v>
      </c>
      <c r="BG403">
        <v>0</v>
      </c>
      <c r="BH403">
        <v>0</v>
      </c>
      <c r="BI403">
        <v>0</v>
      </c>
      <c r="BL403" t="s">
        <v>130</v>
      </c>
      <c r="BM403">
        <v>1</v>
      </c>
      <c r="BN403">
        <v>0</v>
      </c>
      <c r="BO403">
        <v>0</v>
      </c>
      <c r="BP403">
        <v>0</v>
      </c>
      <c r="BT403">
        <v>0</v>
      </c>
      <c r="BU403">
        <v>0</v>
      </c>
      <c r="CE403" t="str">
        <f>"20:21:17.495"</f>
        <v>20:21:17.495</v>
      </c>
      <c r="CF403">
        <v>495274686</v>
      </c>
      <c r="CS403">
        <v>0</v>
      </c>
      <c r="CT403">
        <v>2</v>
      </c>
      <c r="CU403">
        <v>0</v>
      </c>
      <c r="CV403">
        <v>2</v>
      </c>
      <c r="CW403">
        <v>0</v>
      </c>
      <c r="CX403">
        <v>1</v>
      </c>
      <c r="CY403">
        <v>7</v>
      </c>
      <c r="CZ403" t="s">
        <v>131</v>
      </c>
      <c r="DA403">
        <v>116</v>
      </c>
      <c r="DB403">
        <v>0</v>
      </c>
      <c r="DC403" t="s">
        <v>132</v>
      </c>
      <c r="DD403" t="s">
        <v>133</v>
      </c>
      <c r="DG403">
        <v>14432886</v>
      </c>
      <c r="DI403">
        <v>0</v>
      </c>
      <c r="DJ403">
        <v>0</v>
      </c>
      <c r="DK403">
        <v>1</v>
      </c>
      <c r="DL403">
        <v>0</v>
      </c>
      <c r="DM403">
        <v>0</v>
      </c>
      <c r="DN403">
        <v>0</v>
      </c>
      <c r="DO403">
        <v>0</v>
      </c>
      <c r="DP403">
        <v>1</v>
      </c>
      <c r="DQ403">
        <v>0</v>
      </c>
      <c r="DR403">
        <v>0</v>
      </c>
      <c r="DS403">
        <v>0</v>
      </c>
    </row>
    <row r="404" spans="1:123" x14ac:dyDescent="0.25">
      <c r="A404" t="str">
        <f>"11/29/2023 20:21:18.867"</f>
        <v>11/29/2023 20:21:18.867</v>
      </c>
      <c r="C404" t="str">
        <f t="shared" si="49"/>
        <v>FFDF53C0</v>
      </c>
      <c r="D404" t="s">
        <v>123</v>
      </c>
      <c r="E404">
        <v>14</v>
      </c>
      <c r="F404">
        <v>1014</v>
      </c>
      <c r="G404" t="s">
        <v>124</v>
      </c>
      <c r="J404" t="s">
        <v>125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"20:21:18.406"</f>
        <v>20:21:18.406</v>
      </c>
      <c r="T404" t="str">
        <f>"20:21:18.206"</f>
        <v>20:21:18.206</v>
      </c>
      <c r="U404" t="str">
        <f t="shared" si="50"/>
        <v>AA0632</v>
      </c>
      <c r="V404">
        <v>0</v>
      </c>
      <c r="W404">
        <v>0</v>
      </c>
      <c r="X404">
        <v>2</v>
      </c>
      <c r="Y404">
        <v>0</v>
      </c>
      <c r="AA404">
        <v>0</v>
      </c>
      <c r="AB404">
        <v>9</v>
      </c>
      <c r="AC404">
        <v>3</v>
      </c>
      <c r="AD404">
        <v>0</v>
      </c>
      <c r="AE404">
        <v>10</v>
      </c>
      <c r="AF404" t="s">
        <v>126</v>
      </c>
      <c r="AG404">
        <v>0</v>
      </c>
      <c r="AH404">
        <v>0</v>
      </c>
      <c r="AI404">
        <v>2</v>
      </c>
      <c r="AJ404">
        <v>0</v>
      </c>
      <c r="AK404" t="s">
        <v>333</v>
      </c>
      <c r="AL404">
        <v>31.955345000000001</v>
      </c>
      <c r="AM404" t="s">
        <v>334</v>
      </c>
      <c r="AN404">
        <v>-101.117671</v>
      </c>
      <c r="AQ404" t="s">
        <v>129</v>
      </c>
      <c r="AR404">
        <v>80</v>
      </c>
      <c r="AS404">
        <v>-44</v>
      </c>
      <c r="AT404">
        <v>64</v>
      </c>
      <c r="BB404" t="str">
        <f t="shared" si="51"/>
        <v>1200</v>
      </c>
      <c r="BC404">
        <v>1</v>
      </c>
      <c r="BD404" t="str">
        <f t="shared" si="52"/>
        <v xml:space="preserve">N745MB  </v>
      </c>
      <c r="BE404">
        <v>1</v>
      </c>
      <c r="BG404">
        <v>0</v>
      </c>
      <c r="BH404">
        <v>0</v>
      </c>
      <c r="BI404">
        <v>0</v>
      </c>
      <c r="BL404" t="s">
        <v>130</v>
      </c>
      <c r="BM404">
        <v>1</v>
      </c>
      <c r="BN404">
        <v>0</v>
      </c>
      <c r="BO404">
        <v>0</v>
      </c>
      <c r="BP404">
        <v>0</v>
      </c>
      <c r="BT404">
        <v>0</v>
      </c>
      <c r="BU404">
        <v>0</v>
      </c>
      <c r="CE404" t="str">
        <f>"20:21:18.409"</f>
        <v>20:21:18.409</v>
      </c>
      <c r="CF404">
        <v>409215606</v>
      </c>
      <c r="CS404">
        <v>0</v>
      </c>
      <c r="CT404">
        <v>2</v>
      </c>
      <c r="CU404">
        <v>0</v>
      </c>
      <c r="CV404">
        <v>2</v>
      </c>
      <c r="CW404">
        <v>0</v>
      </c>
      <c r="CX404">
        <v>3</v>
      </c>
      <c r="CY404">
        <v>7</v>
      </c>
      <c r="CZ404" t="s">
        <v>131</v>
      </c>
      <c r="DA404">
        <v>116</v>
      </c>
      <c r="DB404">
        <v>3</v>
      </c>
      <c r="DC404" t="s">
        <v>132</v>
      </c>
      <c r="DD404" t="s">
        <v>133</v>
      </c>
      <c r="DG404">
        <v>8260753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1</v>
      </c>
      <c r="DQ404">
        <v>0</v>
      </c>
      <c r="DR404">
        <v>0</v>
      </c>
      <c r="DS404">
        <v>0</v>
      </c>
    </row>
    <row r="405" spans="1:123" x14ac:dyDescent="0.25">
      <c r="A405" t="str">
        <f>"11/29/2023 20:21:18.867"</f>
        <v>11/29/2023 20:21:18.867</v>
      </c>
      <c r="C405" t="str">
        <f t="shared" si="49"/>
        <v>FFDF53C0</v>
      </c>
      <c r="D405" t="s">
        <v>123</v>
      </c>
      <c r="E405">
        <v>1</v>
      </c>
      <c r="F405">
        <v>1001</v>
      </c>
      <c r="G405" t="s">
        <v>134</v>
      </c>
      <c r="J405" t="s">
        <v>125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"20:21:18.406"</f>
        <v>20:21:18.406</v>
      </c>
      <c r="T405" t="str">
        <f>"20:21:18.206"</f>
        <v>20:21:18.206</v>
      </c>
      <c r="U405" t="str">
        <f t="shared" si="50"/>
        <v>AA0632</v>
      </c>
      <c r="V405">
        <v>0</v>
      </c>
      <c r="W405">
        <v>0</v>
      </c>
      <c r="X405">
        <v>2</v>
      </c>
      <c r="Y405">
        <v>0</v>
      </c>
      <c r="AA405">
        <v>0</v>
      </c>
      <c r="AB405">
        <v>9</v>
      </c>
      <c r="AC405">
        <v>3</v>
      </c>
      <c r="AD405">
        <v>0</v>
      </c>
      <c r="AE405">
        <v>10</v>
      </c>
      <c r="AF405" t="s">
        <v>126</v>
      </c>
      <c r="AG405">
        <v>0</v>
      </c>
      <c r="AH405">
        <v>0</v>
      </c>
      <c r="AI405">
        <v>2</v>
      </c>
      <c r="AJ405">
        <v>0</v>
      </c>
      <c r="AK405" t="s">
        <v>333</v>
      </c>
      <c r="AL405">
        <v>31.955345000000001</v>
      </c>
      <c r="AM405" t="s">
        <v>334</v>
      </c>
      <c r="AN405">
        <v>-101.117671</v>
      </c>
      <c r="AQ405" t="s">
        <v>129</v>
      </c>
      <c r="AR405">
        <v>80</v>
      </c>
      <c r="AS405">
        <v>-44</v>
      </c>
      <c r="AT405">
        <v>64</v>
      </c>
      <c r="BB405" t="str">
        <f t="shared" si="51"/>
        <v>1200</v>
      </c>
      <c r="BC405">
        <v>1</v>
      </c>
      <c r="BD405" t="str">
        <f t="shared" si="52"/>
        <v xml:space="preserve">N745MB  </v>
      </c>
      <c r="BE405">
        <v>1</v>
      </c>
      <c r="BG405">
        <v>0</v>
      </c>
      <c r="BH405">
        <v>0</v>
      </c>
      <c r="BI405">
        <v>0</v>
      </c>
      <c r="BL405" t="s">
        <v>130</v>
      </c>
      <c r="BM405">
        <v>1</v>
      </c>
      <c r="BN405">
        <v>0</v>
      </c>
      <c r="BO405">
        <v>0</v>
      </c>
      <c r="BP405">
        <v>0</v>
      </c>
      <c r="BT405">
        <v>0</v>
      </c>
      <c r="BU405">
        <v>0</v>
      </c>
      <c r="CE405" t="str">
        <f>"20:21:18.409"</f>
        <v>20:21:18.409</v>
      </c>
      <c r="CF405">
        <v>409215606</v>
      </c>
      <c r="CS405">
        <v>0</v>
      </c>
      <c r="CT405">
        <v>2</v>
      </c>
      <c r="CU405">
        <v>0</v>
      </c>
      <c r="CV405">
        <v>2</v>
      </c>
      <c r="CW405">
        <v>0</v>
      </c>
      <c r="CX405">
        <v>3</v>
      </c>
      <c r="CY405">
        <v>7</v>
      </c>
      <c r="CZ405" t="s">
        <v>131</v>
      </c>
      <c r="DA405">
        <v>116</v>
      </c>
      <c r="DB405">
        <v>3</v>
      </c>
      <c r="DC405" t="s">
        <v>132</v>
      </c>
      <c r="DD405" t="s">
        <v>133</v>
      </c>
      <c r="DG405">
        <v>8260753</v>
      </c>
      <c r="DI405">
        <v>0</v>
      </c>
      <c r="DJ405">
        <v>0</v>
      </c>
      <c r="DK405">
        <v>1</v>
      </c>
      <c r="DL405">
        <v>0</v>
      </c>
      <c r="DM405">
        <v>0</v>
      </c>
      <c r="DN405">
        <v>0</v>
      </c>
      <c r="DO405">
        <v>0</v>
      </c>
      <c r="DP405">
        <v>1</v>
      </c>
      <c r="DQ405">
        <v>0</v>
      </c>
      <c r="DR405">
        <v>0</v>
      </c>
      <c r="DS405">
        <v>0</v>
      </c>
    </row>
    <row r="406" spans="1:123" x14ac:dyDescent="0.25">
      <c r="A406" t="str">
        <f>"11/29/2023 20:21:18.898"</f>
        <v>11/29/2023 20:21:18.898</v>
      </c>
      <c r="C406" t="str">
        <f t="shared" si="49"/>
        <v>FFDF53C0</v>
      </c>
      <c r="D406" t="s">
        <v>135</v>
      </c>
      <c r="E406">
        <v>31</v>
      </c>
      <c r="H406">
        <v>285</v>
      </c>
      <c r="I406" t="s">
        <v>136</v>
      </c>
      <c r="J406" t="s">
        <v>137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"20:21:18.406"</f>
        <v>20:21:18.406</v>
      </c>
      <c r="T406" t="str">
        <f>"20:21:18.206"</f>
        <v>20:21:18.206</v>
      </c>
      <c r="U406" t="str">
        <f t="shared" si="50"/>
        <v>AA0632</v>
      </c>
      <c r="V406">
        <v>0</v>
      </c>
      <c r="W406">
        <v>0</v>
      </c>
      <c r="X406">
        <v>2</v>
      </c>
      <c r="Y406">
        <v>0</v>
      </c>
      <c r="AA406">
        <v>0</v>
      </c>
      <c r="AB406">
        <v>9</v>
      </c>
      <c r="AC406">
        <v>3</v>
      </c>
      <c r="AD406">
        <v>0</v>
      </c>
      <c r="AE406">
        <v>10</v>
      </c>
      <c r="AF406" t="s">
        <v>126</v>
      </c>
      <c r="AG406">
        <v>0</v>
      </c>
      <c r="AH406">
        <v>0</v>
      </c>
      <c r="AI406">
        <v>2</v>
      </c>
      <c r="AJ406">
        <v>0</v>
      </c>
      <c r="AK406" t="s">
        <v>333</v>
      </c>
      <c r="AL406">
        <v>31.955345000000001</v>
      </c>
      <c r="AM406" t="s">
        <v>334</v>
      </c>
      <c r="AN406">
        <v>-101.117671</v>
      </c>
      <c r="AQ406" t="s">
        <v>129</v>
      </c>
      <c r="AR406">
        <v>80</v>
      </c>
      <c r="AS406">
        <v>-44</v>
      </c>
      <c r="AT406">
        <v>64</v>
      </c>
      <c r="BB406" t="str">
        <f t="shared" si="51"/>
        <v>1200</v>
      </c>
      <c r="BC406">
        <v>1</v>
      </c>
      <c r="BD406" t="str">
        <f t="shared" si="52"/>
        <v xml:space="preserve">N745MB  </v>
      </c>
      <c r="BE406">
        <v>1</v>
      </c>
      <c r="BG406">
        <v>0</v>
      </c>
      <c r="BH406">
        <v>0</v>
      </c>
      <c r="BI406">
        <v>0</v>
      </c>
      <c r="BL406" t="s">
        <v>130</v>
      </c>
      <c r="BM406">
        <v>1</v>
      </c>
      <c r="BN406">
        <v>0</v>
      </c>
      <c r="BO406">
        <v>0</v>
      </c>
      <c r="BP406">
        <v>0</v>
      </c>
      <c r="BT406">
        <v>0</v>
      </c>
      <c r="BU406">
        <v>0</v>
      </c>
      <c r="CE406" t="str">
        <f>"20:21:18.409"</f>
        <v>20:21:18.409</v>
      </c>
      <c r="CF406">
        <v>409215606</v>
      </c>
      <c r="CS406">
        <v>0</v>
      </c>
      <c r="CT406">
        <v>2</v>
      </c>
      <c r="CU406">
        <v>0</v>
      </c>
      <c r="CV406">
        <v>2</v>
      </c>
      <c r="CW406">
        <v>0</v>
      </c>
      <c r="CX406">
        <v>3</v>
      </c>
      <c r="CY406">
        <v>7</v>
      </c>
      <c r="CZ406" t="s">
        <v>131</v>
      </c>
      <c r="DA406">
        <v>116</v>
      </c>
      <c r="DB406">
        <v>3</v>
      </c>
      <c r="DC406" t="s">
        <v>132</v>
      </c>
      <c r="DD406" t="s">
        <v>133</v>
      </c>
      <c r="DG406">
        <v>8260753</v>
      </c>
      <c r="DI406">
        <v>0</v>
      </c>
      <c r="DJ406">
        <v>0</v>
      </c>
      <c r="DK406">
        <v>1</v>
      </c>
      <c r="DL406">
        <v>0</v>
      </c>
      <c r="DM406">
        <v>0</v>
      </c>
      <c r="DN406">
        <v>0</v>
      </c>
      <c r="DO406">
        <v>0</v>
      </c>
      <c r="DP406">
        <v>1</v>
      </c>
      <c r="DQ406">
        <v>0</v>
      </c>
      <c r="DR406">
        <v>0</v>
      </c>
      <c r="DS406">
        <v>0</v>
      </c>
    </row>
    <row r="407" spans="1:123" x14ac:dyDescent="0.25">
      <c r="A407" t="str">
        <f>"11/29/2023 20:21:18.898"</f>
        <v>11/29/2023 20:21:18.898</v>
      </c>
      <c r="C407" t="str">
        <f t="shared" si="49"/>
        <v>FFDF53C0</v>
      </c>
      <c r="D407" t="s">
        <v>138</v>
      </c>
      <c r="E407">
        <v>3</v>
      </c>
      <c r="H407">
        <v>160</v>
      </c>
      <c r="I407" t="s">
        <v>124</v>
      </c>
      <c r="J407" t="s">
        <v>139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"20:21:18.406"</f>
        <v>20:21:18.406</v>
      </c>
      <c r="T407" t="str">
        <f>"20:21:18.206"</f>
        <v>20:21:18.206</v>
      </c>
      <c r="U407" t="str">
        <f t="shared" si="50"/>
        <v>AA0632</v>
      </c>
      <c r="V407">
        <v>0</v>
      </c>
      <c r="W407">
        <v>0</v>
      </c>
      <c r="X407">
        <v>2</v>
      </c>
      <c r="Y407">
        <v>0</v>
      </c>
      <c r="AA407">
        <v>0</v>
      </c>
      <c r="AB407">
        <v>9</v>
      </c>
      <c r="AC407">
        <v>3</v>
      </c>
      <c r="AD407">
        <v>0</v>
      </c>
      <c r="AE407">
        <v>10</v>
      </c>
      <c r="AF407" t="s">
        <v>126</v>
      </c>
      <c r="AG407">
        <v>0</v>
      </c>
      <c r="AH407">
        <v>0</v>
      </c>
      <c r="AI407">
        <v>2</v>
      </c>
      <c r="AJ407">
        <v>0</v>
      </c>
      <c r="AK407" t="s">
        <v>333</v>
      </c>
      <c r="AL407">
        <v>31.955345000000001</v>
      </c>
      <c r="AM407" t="s">
        <v>334</v>
      </c>
      <c r="AN407">
        <v>-101.117671</v>
      </c>
      <c r="AQ407" t="s">
        <v>129</v>
      </c>
      <c r="AR407">
        <v>80</v>
      </c>
      <c r="AS407">
        <v>-44</v>
      </c>
      <c r="AT407">
        <v>64</v>
      </c>
      <c r="BB407" t="str">
        <f t="shared" si="51"/>
        <v>1200</v>
      </c>
      <c r="BC407">
        <v>1</v>
      </c>
      <c r="BD407" t="str">
        <f t="shared" si="52"/>
        <v xml:space="preserve">N745MB  </v>
      </c>
      <c r="BE407">
        <v>1</v>
      </c>
      <c r="BG407">
        <v>0</v>
      </c>
      <c r="BH407">
        <v>0</v>
      </c>
      <c r="BI407">
        <v>0</v>
      </c>
      <c r="BL407" t="s">
        <v>130</v>
      </c>
      <c r="BM407">
        <v>1</v>
      </c>
      <c r="BN407">
        <v>0</v>
      </c>
      <c r="BO407">
        <v>0</v>
      </c>
      <c r="BP407">
        <v>0</v>
      </c>
      <c r="BT407">
        <v>0</v>
      </c>
      <c r="BU407">
        <v>0</v>
      </c>
      <c r="CE407" t="str">
        <f>"20:21:18.409"</f>
        <v>20:21:18.409</v>
      </c>
      <c r="CF407">
        <v>409215606</v>
      </c>
      <c r="CS407">
        <v>0</v>
      </c>
      <c r="CT407">
        <v>2</v>
      </c>
      <c r="CU407">
        <v>0</v>
      </c>
      <c r="CV407">
        <v>2</v>
      </c>
      <c r="CW407">
        <v>0</v>
      </c>
      <c r="CX407">
        <v>3</v>
      </c>
      <c r="CY407">
        <v>7</v>
      </c>
      <c r="CZ407" t="s">
        <v>131</v>
      </c>
      <c r="DA407">
        <v>116</v>
      </c>
      <c r="DB407">
        <v>3</v>
      </c>
      <c r="DC407" t="s">
        <v>132</v>
      </c>
      <c r="DD407" t="s">
        <v>133</v>
      </c>
      <c r="DG407">
        <v>8260753</v>
      </c>
      <c r="DI407">
        <v>0</v>
      </c>
      <c r="DJ407">
        <v>0</v>
      </c>
      <c r="DK407">
        <v>1</v>
      </c>
      <c r="DL407">
        <v>0</v>
      </c>
      <c r="DM407">
        <v>0</v>
      </c>
      <c r="DN407">
        <v>0</v>
      </c>
      <c r="DO407">
        <v>0</v>
      </c>
      <c r="DP407">
        <v>1</v>
      </c>
      <c r="DQ407">
        <v>0</v>
      </c>
      <c r="DR407">
        <v>0</v>
      </c>
      <c r="DS407">
        <v>0</v>
      </c>
    </row>
    <row r="408" spans="1:123" x14ac:dyDescent="0.25">
      <c r="A408" t="str">
        <f>"11/29/2023 20:21:19.851"</f>
        <v>11/29/2023 20:21:19.851</v>
      </c>
      <c r="C408" t="str">
        <f t="shared" si="49"/>
        <v>FFDF53C0</v>
      </c>
      <c r="D408" t="s">
        <v>123</v>
      </c>
      <c r="E408">
        <v>1</v>
      </c>
      <c r="F408">
        <v>1001</v>
      </c>
      <c r="G408" t="s">
        <v>134</v>
      </c>
      <c r="J408" t="s">
        <v>125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"20:21:19.422"</f>
        <v>20:21:19.422</v>
      </c>
      <c r="T408" t="str">
        <f>"20:21:19.122"</f>
        <v>20:21:19.122</v>
      </c>
      <c r="U408" t="str">
        <f t="shared" si="50"/>
        <v>AA0632</v>
      </c>
      <c r="V408">
        <v>0</v>
      </c>
      <c r="W408">
        <v>0</v>
      </c>
      <c r="X408">
        <v>2</v>
      </c>
      <c r="Y408">
        <v>0</v>
      </c>
      <c r="AA408">
        <v>0</v>
      </c>
      <c r="AB408">
        <v>9</v>
      </c>
      <c r="AC408">
        <v>3</v>
      </c>
      <c r="AD408">
        <v>0</v>
      </c>
      <c r="AE408">
        <v>10</v>
      </c>
      <c r="AF408" t="s">
        <v>126</v>
      </c>
      <c r="AG408">
        <v>0</v>
      </c>
      <c r="AH408">
        <v>0</v>
      </c>
      <c r="AI408">
        <v>2</v>
      </c>
      <c r="AJ408">
        <v>0</v>
      </c>
      <c r="AK408" t="s">
        <v>335</v>
      </c>
      <c r="AL408">
        <v>31.955109</v>
      </c>
      <c r="AM408" t="s">
        <v>336</v>
      </c>
      <c r="AN408">
        <v>-101.11722</v>
      </c>
      <c r="AQ408" t="s">
        <v>129</v>
      </c>
      <c r="AR408">
        <v>80</v>
      </c>
      <c r="AS408">
        <v>-43</v>
      </c>
      <c r="AT408">
        <v>64</v>
      </c>
      <c r="BB408" t="str">
        <f t="shared" si="51"/>
        <v>1200</v>
      </c>
      <c r="BC408">
        <v>1</v>
      </c>
      <c r="BD408" t="str">
        <f t="shared" si="52"/>
        <v xml:space="preserve">N745MB  </v>
      </c>
      <c r="BE408">
        <v>1</v>
      </c>
      <c r="BG408">
        <v>0</v>
      </c>
      <c r="BH408">
        <v>0</v>
      </c>
      <c r="BI408">
        <v>0</v>
      </c>
      <c r="BL408" t="s">
        <v>130</v>
      </c>
      <c r="BM408">
        <v>1</v>
      </c>
      <c r="BN408">
        <v>0</v>
      </c>
      <c r="BO408">
        <v>0</v>
      </c>
      <c r="BP408">
        <v>0</v>
      </c>
      <c r="BT408">
        <v>0</v>
      </c>
      <c r="BU408">
        <v>0</v>
      </c>
      <c r="CE408" t="str">
        <f>"20:21:19.429"</f>
        <v>20:21:19.429</v>
      </c>
      <c r="CF408">
        <v>429142969</v>
      </c>
      <c r="CS408">
        <v>0</v>
      </c>
      <c r="CT408">
        <v>2</v>
      </c>
      <c r="CU408">
        <v>0</v>
      </c>
      <c r="CV408">
        <v>2</v>
      </c>
      <c r="CW408">
        <v>0</v>
      </c>
      <c r="CX408">
        <v>3</v>
      </c>
      <c r="CY408">
        <v>7</v>
      </c>
      <c r="CZ408" t="s">
        <v>131</v>
      </c>
      <c r="DA408">
        <v>116</v>
      </c>
      <c r="DB408">
        <v>3</v>
      </c>
      <c r="DC408" t="s">
        <v>132</v>
      </c>
      <c r="DD408" t="s">
        <v>133</v>
      </c>
      <c r="DG408">
        <v>8261289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1</v>
      </c>
      <c r="DQ408">
        <v>0</v>
      </c>
      <c r="DR408">
        <v>0</v>
      </c>
      <c r="DS408">
        <v>0</v>
      </c>
    </row>
    <row r="409" spans="1:123" x14ac:dyDescent="0.25">
      <c r="A409" t="str">
        <f>"11/29/2023 20:21:19.851"</f>
        <v>11/29/2023 20:21:19.851</v>
      </c>
      <c r="C409" t="str">
        <f t="shared" si="49"/>
        <v>FFDF53C0</v>
      </c>
      <c r="D409" t="s">
        <v>135</v>
      </c>
      <c r="E409">
        <v>31</v>
      </c>
      <c r="H409">
        <v>285</v>
      </c>
      <c r="I409" t="s">
        <v>136</v>
      </c>
      <c r="J409" t="s">
        <v>137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"20:21:19.422"</f>
        <v>20:21:19.422</v>
      </c>
      <c r="T409" t="str">
        <f>"20:21:19.122"</f>
        <v>20:21:19.122</v>
      </c>
      <c r="U409" t="str">
        <f t="shared" si="50"/>
        <v>AA0632</v>
      </c>
      <c r="V409">
        <v>0</v>
      </c>
      <c r="W409">
        <v>0</v>
      </c>
      <c r="X409">
        <v>2</v>
      </c>
      <c r="Y409">
        <v>0</v>
      </c>
      <c r="AA409">
        <v>0</v>
      </c>
      <c r="AB409">
        <v>9</v>
      </c>
      <c r="AC409">
        <v>3</v>
      </c>
      <c r="AD409">
        <v>0</v>
      </c>
      <c r="AE409">
        <v>10</v>
      </c>
      <c r="AF409" t="s">
        <v>126</v>
      </c>
      <c r="AG409">
        <v>0</v>
      </c>
      <c r="AH409">
        <v>0</v>
      </c>
      <c r="AI409">
        <v>2</v>
      </c>
      <c r="AJ409">
        <v>0</v>
      </c>
      <c r="AK409" t="s">
        <v>335</v>
      </c>
      <c r="AL409">
        <v>31.955109</v>
      </c>
      <c r="AM409" t="s">
        <v>336</v>
      </c>
      <c r="AN409">
        <v>-101.11722</v>
      </c>
      <c r="AQ409" t="s">
        <v>129</v>
      </c>
      <c r="AR409">
        <v>80</v>
      </c>
      <c r="AS409">
        <v>-43</v>
      </c>
      <c r="AT409">
        <v>64</v>
      </c>
      <c r="BB409" t="str">
        <f t="shared" si="51"/>
        <v>1200</v>
      </c>
      <c r="BC409">
        <v>1</v>
      </c>
      <c r="BD409" t="str">
        <f t="shared" si="52"/>
        <v xml:space="preserve">N745MB  </v>
      </c>
      <c r="BE409">
        <v>1</v>
      </c>
      <c r="BG409">
        <v>0</v>
      </c>
      <c r="BH409">
        <v>0</v>
      </c>
      <c r="BI409">
        <v>0</v>
      </c>
      <c r="BL409" t="s">
        <v>130</v>
      </c>
      <c r="BM409">
        <v>1</v>
      </c>
      <c r="BN409">
        <v>0</v>
      </c>
      <c r="BO409">
        <v>0</v>
      </c>
      <c r="BP409">
        <v>0</v>
      </c>
      <c r="BT409">
        <v>0</v>
      </c>
      <c r="BU409">
        <v>0</v>
      </c>
      <c r="CE409" t="str">
        <f>"20:21:19.429"</f>
        <v>20:21:19.429</v>
      </c>
      <c r="CF409">
        <v>429142969</v>
      </c>
      <c r="CS409">
        <v>0</v>
      </c>
      <c r="CT409">
        <v>2</v>
      </c>
      <c r="CU409">
        <v>0</v>
      </c>
      <c r="CV409">
        <v>2</v>
      </c>
      <c r="CW409">
        <v>0</v>
      </c>
      <c r="CX409">
        <v>3</v>
      </c>
      <c r="CY409">
        <v>7</v>
      </c>
      <c r="CZ409" t="s">
        <v>131</v>
      </c>
      <c r="DA409">
        <v>116</v>
      </c>
      <c r="DB409">
        <v>3</v>
      </c>
      <c r="DC409" t="s">
        <v>132</v>
      </c>
      <c r="DD409" t="s">
        <v>133</v>
      </c>
      <c r="DG409">
        <v>8261289</v>
      </c>
      <c r="DI409">
        <v>0</v>
      </c>
      <c r="DJ409">
        <v>0</v>
      </c>
      <c r="DK409">
        <v>1</v>
      </c>
      <c r="DL409">
        <v>0</v>
      </c>
      <c r="DM409">
        <v>0</v>
      </c>
      <c r="DN409">
        <v>0</v>
      </c>
      <c r="DO409">
        <v>0</v>
      </c>
      <c r="DP409">
        <v>1</v>
      </c>
      <c r="DQ409">
        <v>0</v>
      </c>
      <c r="DR409">
        <v>0</v>
      </c>
      <c r="DS409">
        <v>0</v>
      </c>
    </row>
    <row r="410" spans="1:123" x14ac:dyDescent="0.25">
      <c r="A410" t="str">
        <f>"11/29/2023 20:21:19.851"</f>
        <v>11/29/2023 20:21:19.851</v>
      </c>
      <c r="C410" t="str">
        <f t="shared" si="49"/>
        <v>FFDF53C0</v>
      </c>
      <c r="D410" t="s">
        <v>138</v>
      </c>
      <c r="E410">
        <v>3</v>
      </c>
      <c r="H410">
        <v>160</v>
      </c>
      <c r="I410" t="s">
        <v>124</v>
      </c>
      <c r="J410" t="s">
        <v>139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"20:21:19.422"</f>
        <v>20:21:19.422</v>
      </c>
      <c r="T410" t="str">
        <f>"20:21:19.122"</f>
        <v>20:21:19.122</v>
      </c>
      <c r="U410" t="str">
        <f t="shared" si="50"/>
        <v>AA0632</v>
      </c>
      <c r="V410">
        <v>0</v>
      </c>
      <c r="W410">
        <v>0</v>
      </c>
      <c r="X410">
        <v>2</v>
      </c>
      <c r="Y410">
        <v>0</v>
      </c>
      <c r="AA410">
        <v>0</v>
      </c>
      <c r="AB410">
        <v>9</v>
      </c>
      <c r="AC410">
        <v>3</v>
      </c>
      <c r="AD410">
        <v>0</v>
      </c>
      <c r="AE410">
        <v>10</v>
      </c>
      <c r="AF410" t="s">
        <v>126</v>
      </c>
      <c r="AG410">
        <v>0</v>
      </c>
      <c r="AH410">
        <v>0</v>
      </c>
      <c r="AI410">
        <v>2</v>
      </c>
      <c r="AJ410">
        <v>0</v>
      </c>
      <c r="AK410" t="s">
        <v>335</v>
      </c>
      <c r="AL410">
        <v>31.955109</v>
      </c>
      <c r="AM410" t="s">
        <v>336</v>
      </c>
      <c r="AN410">
        <v>-101.11722</v>
      </c>
      <c r="AQ410" t="s">
        <v>129</v>
      </c>
      <c r="AR410">
        <v>80</v>
      </c>
      <c r="AS410">
        <v>-43</v>
      </c>
      <c r="AT410">
        <v>64</v>
      </c>
      <c r="BB410" t="str">
        <f t="shared" si="51"/>
        <v>1200</v>
      </c>
      <c r="BC410">
        <v>1</v>
      </c>
      <c r="BD410" t="str">
        <f t="shared" si="52"/>
        <v xml:space="preserve">N745MB  </v>
      </c>
      <c r="BE410">
        <v>1</v>
      </c>
      <c r="BG410">
        <v>0</v>
      </c>
      <c r="BH410">
        <v>0</v>
      </c>
      <c r="BI410">
        <v>0</v>
      </c>
      <c r="BL410" t="s">
        <v>130</v>
      </c>
      <c r="BM410">
        <v>1</v>
      </c>
      <c r="BN410">
        <v>0</v>
      </c>
      <c r="BO410">
        <v>0</v>
      </c>
      <c r="BP410">
        <v>0</v>
      </c>
      <c r="BT410">
        <v>0</v>
      </c>
      <c r="BU410">
        <v>0</v>
      </c>
      <c r="CE410" t="str">
        <f>"20:21:19.429"</f>
        <v>20:21:19.429</v>
      </c>
      <c r="CF410">
        <v>429142969</v>
      </c>
      <c r="CS410">
        <v>0</v>
      </c>
      <c r="CT410">
        <v>2</v>
      </c>
      <c r="CU410">
        <v>0</v>
      </c>
      <c r="CV410">
        <v>2</v>
      </c>
      <c r="CW410">
        <v>0</v>
      </c>
      <c r="CX410">
        <v>3</v>
      </c>
      <c r="CY410">
        <v>7</v>
      </c>
      <c r="CZ410" t="s">
        <v>131</v>
      </c>
      <c r="DA410">
        <v>116</v>
      </c>
      <c r="DB410">
        <v>3</v>
      </c>
      <c r="DC410" t="s">
        <v>132</v>
      </c>
      <c r="DD410" t="s">
        <v>133</v>
      </c>
      <c r="DG410">
        <v>8261289</v>
      </c>
      <c r="DI410">
        <v>0</v>
      </c>
      <c r="DJ410">
        <v>0</v>
      </c>
      <c r="DK410">
        <v>1</v>
      </c>
      <c r="DL410">
        <v>0</v>
      </c>
      <c r="DM410">
        <v>0</v>
      </c>
      <c r="DN410">
        <v>0</v>
      </c>
      <c r="DO410">
        <v>0</v>
      </c>
      <c r="DP410">
        <v>1</v>
      </c>
      <c r="DQ410">
        <v>0</v>
      </c>
      <c r="DR410">
        <v>0</v>
      </c>
      <c r="DS410">
        <v>0</v>
      </c>
    </row>
    <row r="411" spans="1:123" x14ac:dyDescent="0.25">
      <c r="A411" t="str">
        <f>"11/29/2023 20:21:19.851"</f>
        <v>11/29/2023 20:21:19.851</v>
      </c>
      <c r="C411" t="str">
        <f t="shared" si="49"/>
        <v>FFDF53C0</v>
      </c>
      <c r="D411" t="s">
        <v>123</v>
      </c>
      <c r="E411">
        <v>14</v>
      </c>
      <c r="F411">
        <v>1014</v>
      </c>
      <c r="G411" t="s">
        <v>124</v>
      </c>
      <c r="J411" t="s">
        <v>125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"20:21:19.422"</f>
        <v>20:21:19.422</v>
      </c>
      <c r="T411" t="str">
        <f>"20:21:19.122"</f>
        <v>20:21:19.122</v>
      </c>
      <c r="U411" t="str">
        <f t="shared" si="50"/>
        <v>AA0632</v>
      </c>
      <c r="V411">
        <v>0</v>
      </c>
      <c r="W411">
        <v>0</v>
      </c>
      <c r="X411">
        <v>2</v>
      </c>
      <c r="Y411">
        <v>0</v>
      </c>
      <c r="AA411">
        <v>0</v>
      </c>
      <c r="AB411">
        <v>9</v>
      </c>
      <c r="AC411">
        <v>3</v>
      </c>
      <c r="AD411">
        <v>0</v>
      </c>
      <c r="AE411">
        <v>10</v>
      </c>
      <c r="AF411" t="s">
        <v>126</v>
      </c>
      <c r="AG411">
        <v>0</v>
      </c>
      <c r="AH411">
        <v>0</v>
      </c>
      <c r="AI411">
        <v>2</v>
      </c>
      <c r="AJ411">
        <v>0</v>
      </c>
      <c r="AK411" t="s">
        <v>335</v>
      </c>
      <c r="AL411">
        <v>31.955109</v>
      </c>
      <c r="AM411" t="s">
        <v>336</v>
      </c>
      <c r="AN411">
        <v>-101.11722</v>
      </c>
      <c r="AQ411" t="s">
        <v>129</v>
      </c>
      <c r="AR411">
        <v>80</v>
      </c>
      <c r="AS411">
        <v>-43</v>
      </c>
      <c r="AT411">
        <v>64</v>
      </c>
      <c r="BB411" t="str">
        <f t="shared" si="51"/>
        <v>1200</v>
      </c>
      <c r="BC411">
        <v>1</v>
      </c>
      <c r="BD411" t="str">
        <f t="shared" si="52"/>
        <v xml:space="preserve">N745MB  </v>
      </c>
      <c r="BE411">
        <v>1</v>
      </c>
      <c r="BG411">
        <v>0</v>
      </c>
      <c r="BH411">
        <v>0</v>
      </c>
      <c r="BI411">
        <v>0</v>
      </c>
      <c r="BL411" t="s">
        <v>130</v>
      </c>
      <c r="BM411">
        <v>1</v>
      </c>
      <c r="BN411">
        <v>0</v>
      </c>
      <c r="BO411">
        <v>0</v>
      </c>
      <c r="BP411">
        <v>0</v>
      </c>
      <c r="BT411">
        <v>0</v>
      </c>
      <c r="BU411">
        <v>0</v>
      </c>
      <c r="CE411" t="str">
        <f>"20:21:19.429"</f>
        <v>20:21:19.429</v>
      </c>
      <c r="CF411">
        <v>429142969</v>
      </c>
      <c r="CS411">
        <v>0</v>
      </c>
      <c r="CT411">
        <v>2</v>
      </c>
      <c r="CU411">
        <v>0</v>
      </c>
      <c r="CV411">
        <v>2</v>
      </c>
      <c r="CW411">
        <v>0</v>
      </c>
      <c r="CX411">
        <v>3</v>
      </c>
      <c r="CY411">
        <v>7</v>
      </c>
      <c r="CZ411" t="s">
        <v>131</v>
      </c>
      <c r="DA411">
        <v>116</v>
      </c>
      <c r="DB411">
        <v>3</v>
      </c>
      <c r="DC411" t="s">
        <v>132</v>
      </c>
      <c r="DD411" t="s">
        <v>133</v>
      </c>
      <c r="DG411">
        <v>8261289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1</v>
      </c>
      <c r="DQ411">
        <v>0</v>
      </c>
      <c r="DR411">
        <v>0</v>
      </c>
      <c r="DS411">
        <v>0</v>
      </c>
    </row>
    <row r="412" spans="1:123" x14ac:dyDescent="0.25">
      <c r="A412" t="str">
        <f>"11/29/2023 20:21:20.820"</f>
        <v>11/29/2023 20:21:20.820</v>
      </c>
      <c r="C412" t="str">
        <f t="shared" si="49"/>
        <v>FFDF53C0</v>
      </c>
      <c r="D412" t="s">
        <v>123</v>
      </c>
      <c r="E412">
        <v>1</v>
      </c>
      <c r="F412">
        <v>1001</v>
      </c>
      <c r="G412" t="s">
        <v>134</v>
      </c>
      <c r="J412" t="s">
        <v>125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"20:21:20.445"</f>
        <v>20:21:20.445</v>
      </c>
      <c r="T412" t="str">
        <f>"20:21:20.145"</f>
        <v>20:21:20.145</v>
      </c>
      <c r="U412" t="str">
        <f t="shared" si="50"/>
        <v>AA0632</v>
      </c>
      <c r="V412">
        <v>0</v>
      </c>
      <c r="W412">
        <v>0</v>
      </c>
      <c r="X412">
        <v>2</v>
      </c>
      <c r="Y412">
        <v>0</v>
      </c>
      <c r="AA412">
        <v>0</v>
      </c>
      <c r="AB412">
        <v>9</v>
      </c>
      <c r="AC412">
        <v>3</v>
      </c>
      <c r="AD412">
        <v>0</v>
      </c>
      <c r="AE412">
        <v>10</v>
      </c>
      <c r="AF412" t="s">
        <v>126</v>
      </c>
      <c r="AG412">
        <v>0</v>
      </c>
      <c r="AH412">
        <v>0</v>
      </c>
      <c r="AI412">
        <v>2</v>
      </c>
      <c r="AJ412">
        <v>0</v>
      </c>
      <c r="AK412" t="s">
        <v>337</v>
      </c>
      <c r="AL412">
        <v>31.954916000000001</v>
      </c>
      <c r="AM412" t="s">
        <v>338</v>
      </c>
      <c r="AN412">
        <v>-101.11679100000001</v>
      </c>
      <c r="AQ412" t="s">
        <v>129</v>
      </c>
      <c r="AR412">
        <v>80</v>
      </c>
      <c r="AS412">
        <v>-43</v>
      </c>
      <c r="AT412">
        <v>0</v>
      </c>
      <c r="BB412" t="str">
        <f t="shared" si="51"/>
        <v>1200</v>
      </c>
      <c r="BC412">
        <v>1</v>
      </c>
      <c r="BD412" t="str">
        <f t="shared" si="52"/>
        <v xml:space="preserve">N745MB  </v>
      </c>
      <c r="BE412">
        <v>1</v>
      </c>
      <c r="BG412">
        <v>0</v>
      </c>
      <c r="BH412">
        <v>0</v>
      </c>
      <c r="BI412">
        <v>0</v>
      </c>
      <c r="BL412" t="s">
        <v>130</v>
      </c>
      <c r="BM412">
        <v>1</v>
      </c>
      <c r="BN412">
        <v>0</v>
      </c>
      <c r="BO412">
        <v>0</v>
      </c>
      <c r="BP412">
        <v>0</v>
      </c>
      <c r="BT412">
        <v>0</v>
      </c>
      <c r="BU412">
        <v>0</v>
      </c>
      <c r="CE412" t="str">
        <f>"20:21:20.447"</f>
        <v>20:21:20.447</v>
      </c>
      <c r="CF412">
        <v>447073570</v>
      </c>
      <c r="CS412">
        <v>0</v>
      </c>
      <c r="CT412">
        <v>2</v>
      </c>
      <c r="CU412">
        <v>0</v>
      </c>
      <c r="CV412">
        <v>2</v>
      </c>
      <c r="CW412">
        <v>0</v>
      </c>
      <c r="CX412">
        <v>2</v>
      </c>
      <c r="CY412">
        <v>7</v>
      </c>
      <c r="CZ412" t="s">
        <v>131</v>
      </c>
      <c r="DA412">
        <v>116</v>
      </c>
      <c r="DB412">
        <v>3</v>
      </c>
      <c r="DC412" t="s">
        <v>132</v>
      </c>
      <c r="DD412" t="s">
        <v>133</v>
      </c>
      <c r="DG412">
        <v>8261870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1</v>
      </c>
      <c r="DQ412">
        <v>0</v>
      </c>
      <c r="DR412">
        <v>0</v>
      </c>
      <c r="DS412">
        <v>0</v>
      </c>
    </row>
    <row r="413" spans="1:123" x14ac:dyDescent="0.25">
      <c r="A413" t="str">
        <f>"11/29/2023 20:21:20.820"</f>
        <v>11/29/2023 20:21:20.820</v>
      </c>
      <c r="C413" t="str">
        <f t="shared" si="49"/>
        <v>FFDF53C0</v>
      </c>
      <c r="D413" t="s">
        <v>135</v>
      </c>
      <c r="E413">
        <v>31</v>
      </c>
      <c r="H413">
        <v>285</v>
      </c>
      <c r="I413" t="s">
        <v>136</v>
      </c>
      <c r="J413" t="s">
        <v>137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"20:21:20.445"</f>
        <v>20:21:20.445</v>
      </c>
      <c r="T413" t="str">
        <f>"20:21:20.145"</f>
        <v>20:21:20.145</v>
      </c>
      <c r="U413" t="str">
        <f t="shared" si="50"/>
        <v>AA0632</v>
      </c>
      <c r="V413">
        <v>0</v>
      </c>
      <c r="W413">
        <v>0</v>
      </c>
      <c r="X413">
        <v>2</v>
      </c>
      <c r="Y413">
        <v>0</v>
      </c>
      <c r="AA413">
        <v>0</v>
      </c>
      <c r="AB413">
        <v>9</v>
      </c>
      <c r="AC413">
        <v>3</v>
      </c>
      <c r="AD413">
        <v>0</v>
      </c>
      <c r="AE413">
        <v>10</v>
      </c>
      <c r="AF413" t="s">
        <v>126</v>
      </c>
      <c r="AG413">
        <v>0</v>
      </c>
      <c r="AH413">
        <v>0</v>
      </c>
      <c r="AI413">
        <v>2</v>
      </c>
      <c r="AJ413">
        <v>0</v>
      </c>
      <c r="AK413" t="s">
        <v>337</v>
      </c>
      <c r="AL413">
        <v>31.954916000000001</v>
      </c>
      <c r="AM413" t="s">
        <v>338</v>
      </c>
      <c r="AN413">
        <v>-101.11679100000001</v>
      </c>
      <c r="AQ413" t="s">
        <v>129</v>
      </c>
      <c r="AR413">
        <v>80</v>
      </c>
      <c r="AS413">
        <v>-43</v>
      </c>
      <c r="AT413">
        <v>0</v>
      </c>
      <c r="BB413" t="str">
        <f t="shared" si="51"/>
        <v>1200</v>
      </c>
      <c r="BC413">
        <v>1</v>
      </c>
      <c r="BD413" t="str">
        <f t="shared" si="52"/>
        <v xml:space="preserve">N745MB  </v>
      </c>
      <c r="BE413">
        <v>1</v>
      </c>
      <c r="BG413">
        <v>0</v>
      </c>
      <c r="BH413">
        <v>0</v>
      </c>
      <c r="BI413">
        <v>0</v>
      </c>
      <c r="BL413" t="s">
        <v>130</v>
      </c>
      <c r="BM413">
        <v>1</v>
      </c>
      <c r="BN413">
        <v>0</v>
      </c>
      <c r="BO413">
        <v>0</v>
      </c>
      <c r="BP413">
        <v>0</v>
      </c>
      <c r="BT413">
        <v>0</v>
      </c>
      <c r="BU413">
        <v>0</v>
      </c>
      <c r="CE413" t="str">
        <f>"20:21:20.447"</f>
        <v>20:21:20.447</v>
      </c>
      <c r="CF413">
        <v>447073570</v>
      </c>
      <c r="CS413">
        <v>0</v>
      </c>
      <c r="CT413">
        <v>2</v>
      </c>
      <c r="CU413">
        <v>0</v>
      </c>
      <c r="CV413">
        <v>2</v>
      </c>
      <c r="CW413">
        <v>0</v>
      </c>
      <c r="CX413">
        <v>2</v>
      </c>
      <c r="CY413">
        <v>7</v>
      </c>
      <c r="CZ413" t="s">
        <v>131</v>
      </c>
      <c r="DA413">
        <v>116</v>
      </c>
      <c r="DB413">
        <v>3</v>
      </c>
      <c r="DC413" t="s">
        <v>132</v>
      </c>
      <c r="DD413" t="s">
        <v>133</v>
      </c>
      <c r="DG413">
        <v>8261870</v>
      </c>
      <c r="DI413">
        <v>0</v>
      </c>
      <c r="DJ413">
        <v>0</v>
      </c>
      <c r="DK413">
        <v>1</v>
      </c>
      <c r="DL413">
        <v>0</v>
      </c>
      <c r="DM413">
        <v>0</v>
      </c>
      <c r="DN413">
        <v>0</v>
      </c>
      <c r="DO413">
        <v>0</v>
      </c>
      <c r="DP413">
        <v>1</v>
      </c>
      <c r="DQ413">
        <v>0</v>
      </c>
      <c r="DR413">
        <v>0</v>
      </c>
      <c r="DS413">
        <v>0</v>
      </c>
    </row>
    <row r="414" spans="1:123" x14ac:dyDescent="0.25">
      <c r="A414" t="str">
        <f>"11/29/2023 20:21:20.898"</f>
        <v>11/29/2023 20:21:20.898</v>
      </c>
      <c r="C414" t="str">
        <f t="shared" si="49"/>
        <v>FFDF53C0</v>
      </c>
      <c r="D414" t="s">
        <v>138</v>
      </c>
      <c r="E414">
        <v>3</v>
      </c>
      <c r="H414">
        <v>160</v>
      </c>
      <c r="I414" t="s">
        <v>124</v>
      </c>
      <c r="J414" t="s">
        <v>139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"20:21:20.445"</f>
        <v>20:21:20.445</v>
      </c>
      <c r="T414" t="str">
        <f>"20:21:20.145"</f>
        <v>20:21:20.145</v>
      </c>
      <c r="U414" t="str">
        <f t="shared" si="50"/>
        <v>AA0632</v>
      </c>
      <c r="V414">
        <v>0</v>
      </c>
      <c r="W414">
        <v>0</v>
      </c>
      <c r="X414">
        <v>2</v>
      </c>
      <c r="Y414">
        <v>0</v>
      </c>
      <c r="AA414">
        <v>0</v>
      </c>
      <c r="AB414">
        <v>9</v>
      </c>
      <c r="AC414">
        <v>3</v>
      </c>
      <c r="AD414">
        <v>0</v>
      </c>
      <c r="AE414">
        <v>10</v>
      </c>
      <c r="AF414" t="s">
        <v>126</v>
      </c>
      <c r="AG414">
        <v>0</v>
      </c>
      <c r="AH414">
        <v>0</v>
      </c>
      <c r="AI414">
        <v>2</v>
      </c>
      <c r="AJ414">
        <v>0</v>
      </c>
      <c r="AK414" t="s">
        <v>337</v>
      </c>
      <c r="AL414">
        <v>31.954916000000001</v>
      </c>
      <c r="AM414" t="s">
        <v>338</v>
      </c>
      <c r="AN414">
        <v>-101.11679100000001</v>
      </c>
      <c r="AQ414" t="s">
        <v>129</v>
      </c>
      <c r="AR414">
        <v>80</v>
      </c>
      <c r="AS414">
        <v>-43</v>
      </c>
      <c r="AT414">
        <v>0</v>
      </c>
      <c r="BB414" t="str">
        <f t="shared" si="51"/>
        <v>1200</v>
      </c>
      <c r="BC414">
        <v>1</v>
      </c>
      <c r="BD414" t="str">
        <f t="shared" si="52"/>
        <v xml:space="preserve">N745MB  </v>
      </c>
      <c r="BE414">
        <v>1</v>
      </c>
      <c r="BG414">
        <v>0</v>
      </c>
      <c r="BH414">
        <v>0</v>
      </c>
      <c r="BI414">
        <v>0</v>
      </c>
      <c r="BL414" t="s">
        <v>130</v>
      </c>
      <c r="BM414">
        <v>1</v>
      </c>
      <c r="BN414">
        <v>0</v>
      </c>
      <c r="BO414">
        <v>0</v>
      </c>
      <c r="BP414">
        <v>0</v>
      </c>
      <c r="BT414">
        <v>0</v>
      </c>
      <c r="BU414">
        <v>0</v>
      </c>
      <c r="CE414" t="str">
        <f>"20:21:20.447"</f>
        <v>20:21:20.447</v>
      </c>
      <c r="CF414">
        <v>447073570</v>
      </c>
      <c r="CS414">
        <v>0</v>
      </c>
      <c r="CT414">
        <v>2</v>
      </c>
      <c r="CU414">
        <v>0</v>
      </c>
      <c r="CV414">
        <v>2</v>
      </c>
      <c r="CW414">
        <v>0</v>
      </c>
      <c r="CX414">
        <v>2</v>
      </c>
      <c r="CY414">
        <v>7</v>
      </c>
      <c r="CZ414" t="s">
        <v>131</v>
      </c>
      <c r="DA414">
        <v>116</v>
      </c>
      <c r="DB414">
        <v>3</v>
      </c>
      <c r="DC414" t="s">
        <v>132</v>
      </c>
      <c r="DD414" t="s">
        <v>133</v>
      </c>
      <c r="DG414">
        <v>8261870</v>
      </c>
      <c r="DI414">
        <v>0</v>
      </c>
      <c r="DJ414">
        <v>0</v>
      </c>
      <c r="DK414">
        <v>1</v>
      </c>
      <c r="DL414">
        <v>0</v>
      </c>
      <c r="DM414">
        <v>0</v>
      </c>
      <c r="DN414">
        <v>0</v>
      </c>
      <c r="DO414">
        <v>0</v>
      </c>
      <c r="DP414">
        <v>1</v>
      </c>
      <c r="DQ414">
        <v>0</v>
      </c>
      <c r="DR414">
        <v>0</v>
      </c>
      <c r="DS414">
        <v>0</v>
      </c>
    </row>
    <row r="415" spans="1:123" x14ac:dyDescent="0.25">
      <c r="A415" t="str">
        <f>"11/29/2023 20:21:20.898"</f>
        <v>11/29/2023 20:21:20.898</v>
      </c>
      <c r="C415" t="str">
        <f t="shared" si="49"/>
        <v>FFDF53C0</v>
      </c>
      <c r="D415" t="s">
        <v>123</v>
      </c>
      <c r="E415">
        <v>14</v>
      </c>
      <c r="F415">
        <v>1014</v>
      </c>
      <c r="G415" t="s">
        <v>124</v>
      </c>
      <c r="J415" t="s">
        <v>125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"20:21:20.445"</f>
        <v>20:21:20.445</v>
      </c>
      <c r="T415" t="str">
        <f>"20:21:20.145"</f>
        <v>20:21:20.145</v>
      </c>
      <c r="U415" t="str">
        <f t="shared" si="50"/>
        <v>AA0632</v>
      </c>
      <c r="V415">
        <v>0</v>
      </c>
      <c r="W415">
        <v>0</v>
      </c>
      <c r="X415">
        <v>2</v>
      </c>
      <c r="Y415">
        <v>0</v>
      </c>
      <c r="AA415">
        <v>0</v>
      </c>
      <c r="AB415">
        <v>9</v>
      </c>
      <c r="AC415">
        <v>3</v>
      </c>
      <c r="AD415">
        <v>0</v>
      </c>
      <c r="AE415">
        <v>10</v>
      </c>
      <c r="AF415" t="s">
        <v>126</v>
      </c>
      <c r="AG415">
        <v>0</v>
      </c>
      <c r="AH415">
        <v>0</v>
      </c>
      <c r="AI415">
        <v>2</v>
      </c>
      <c r="AJ415">
        <v>0</v>
      </c>
      <c r="AK415" t="s">
        <v>337</v>
      </c>
      <c r="AL415">
        <v>31.954916000000001</v>
      </c>
      <c r="AM415" t="s">
        <v>338</v>
      </c>
      <c r="AN415">
        <v>-101.11679100000001</v>
      </c>
      <c r="AQ415" t="s">
        <v>129</v>
      </c>
      <c r="AR415">
        <v>80</v>
      </c>
      <c r="AS415">
        <v>-43</v>
      </c>
      <c r="AT415">
        <v>0</v>
      </c>
      <c r="BB415" t="str">
        <f t="shared" si="51"/>
        <v>1200</v>
      </c>
      <c r="BC415">
        <v>1</v>
      </c>
      <c r="BD415" t="str">
        <f t="shared" si="52"/>
        <v xml:space="preserve">N745MB  </v>
      </c>
      <c r="BE415">
        <v>1</v>
      </c>
      <c r="BG415">
        <v>0</v>
      </c>
      <c r="BH415">
        <v>0</v>
      </c>
      <c r="BI415">
        <v>0</v>
      </c>
      <c r="BL415" t="s">
        <v>130</v>
      </c>
      <c r="BM415">
        <v>1</v>
      </c>
      <c r="BN415">
        <v>0</v>
      </c>
      <c r="BO415">
        <v>0</v>
      </c>
      <c r="BP415">
        <v>0</v>
      </c>
      <c r="BT415">
        <v>0</v>
      </c>
      <c r="BU415">
        <v>0</v>
      </c>
      <c r="CE415" t="str">
        <f>"20:21:20.447"</f>
        <v>20:21:20.447</v>
      </c>
      <c r="CF415">
        <v>447073570</v>
      </c>
      <c r="CS415">
        <v>0</v>
      </c>
      <c r="CT415">
        <v>2</v>
      </c>
      <c r="CU415">
        <v>0</v>
      </c>
      <c r="CV415">
        <v>2</v>
      </c>
      <c r="CW415">
        <v>0</v>
      </c>
      <c r="CX415">
        <v>2</v>
      </c>
      <c r="CY415">
        <v>7</v>
      </c>
      <c r="CZ415" t="s">
        <v>131</v>
      </c>
      <c r="DA415">
        <v>116</v>
      </c>
      <c r="DB415">
        <v>3</v>
      </c>
      <c r="DC415" t="s">
        <v>132</v>
      </c>
      <c r="DD415" t="s">
        <v>133</v>
      </c>
      <c r="DG415">
        <v>8261870</v>
      </c>
      <c r="DI415">
        <v>0</v>
      </c>
      <c r="DJ415">
        <v>0</v>
      </c>
      <c r="DK415">
        <v>1</v>
      </c>
      <c r="DL415">
        <v>0</v>
      </c>
      <c r="DM415">
        <v>0</v>
      </c>
      <c r="DN415">
        <v>0</v>
      </c>
      <c r="DO415">
        <v>0</v>
      </c>
      <c r="DP415">
        <v>1</v>
      </c>
      <c r="DQ415">
        <v>0</v>
      </c>
      <c r="DR415">
        <v>0</v>
      </c>
      <c r="DS415">
        <v>0</v>
      </c>
    </row>
    <row r="416" spans="1:123" x14ac:dyDescent="0.25">
      <c r="A416" t="str">
        <f>"11/29/2023 20:21:23.586"</f>
        <v>11/29/2023 20:21:23.586</v>
      </c>
      <c r="C416" t="str">
        <f t="shared" si="49"/>
        <v>FFDF53C0</v>
      </c>
      <c r="D416" t="s">
        <v>123</v>
      </c>
      <c r="E416">
        <v>1</v>
      </c>
      <c r="F416">
        <v>1001</v>
      </c>
      <c r="G416" t="s">
        <v>134</v>
      </c>
      <c r="J416" t="s">
        <v>125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 t="shared" ref="S416:T419" si="53">"20:21:23.281"</f>
        <v>20:21:23.281</v>
      </c>
      <c r="T416" t="str">
        <f t="shared" si="53"/>
        <v>20:21:23.281</v>
      </c>
      <c r="U416" t="str">
        <f t="shared" si="50"/>
        <v>AA0632</v>
      </c>
      <c r="V416">
        <v>0</v>
      </c>
      <c r="W416">
        <v>0</v>
      </c>
      <c r="X416">
        <v>2</v>
      </c>
      <c r="Y416">
        <v>0</v>
      </c>
      <c r="AA416">
        <v>0</v>
      </c>
      <c r="AB416">
        <v>9</v>
      </c>
      <c r="AC416">
        <v>3</v>
      </c>
      <c r="AD416">
        <v>0</v>
      </c>
      <c r="AE416">
        <v>10</v>
      </c>
      <c r="AF416" t="s">
        <v>126</v>
      </c>
      <c r="AG416">
        <v>0</v>
      </c>
      <c r="AH416">
        <v>0</v>
      </c>
      <c r="AI416">
        <v>2</v>
      </c>
      <c r="AJ416">
        <v>0</v>
      </c>
      <c r="AK416" t="s">
        <v>339</v>
      </c>
      <c r="AL416">
        <v>31.954336000000001</v>
      </c>
      <c r="AM416" t="s">
        <v>340</v>
      </c>
      <c r="AN416">
        <v>-101.115482</v>
      </c>
      <c r="AQ416" t="s">
        <v>129</v>
      </c>
      <c r="AR416">
        <v>81</v>
      </c>
      <c r="AS416">
        <v>-43</v>
      </c>
      <c r="AT416">
        <v>-192</v>
      </c>
      <c r="BB416" t="str">
        <f t="shared" si="51"/>
        <v>1200</v>
      </c>
      <c r="BC416">
        <v>1</v>
      </c>
      <c r="BD416" t="str">
        <f t="shared" si="52"/>
        <v xml:space="preserve">N745MB  </v>
      </c>
      <c r="BE416">
        <v>1</v>
      </c>
      <c r="BG416">
        <v>0</v>
      </c>
      <c r="BH416">
        <v>0</v>
      </c>
      <c r="BI416">
        <v>0</v>
      </c>
      <c r="BL416" t="s">
        <v>130</v>
      </c>
      <c r="BM416">
        <v>1</v>
      </c>
      <c r="BN416">
        <v>0</v>
      </c>
      <c r="BO416">
        <v>0</v>
      </c>
      <c r="BP416">
        <v>0</v>
      </c>
      <c r="BT416">
        <v>0</v>
      </c>
      <c r="BU416">
        <v>0</v>
      </c>
      <c r="CE416" t="str">
        <f>"20:21:23.285"</f>
        <v>20:21:23.285</v>
      </c>
      <c r="CF416">
        <v>284878795</v>
      </c>
      <c r="CS416">
        <v>0</v>
      </c>
      <c r="CT416">
        <v>2</v>
      </c>
      <c r="CU416">
        <v>0</v>
      </c>
      <c r="CV416">
        <v>2</v>
      </c>
      <c r="CW416">
        <v>0</v>
      </c>
      <c r="CX416">
        <v>2</v>
      </c>
      <c r="CY416">
        <v>7</v>
      </c>
      <c r="CZ416" t="s">
        <v>131</v>
      </c>
      <c r="DA416">
        <v>116</v>
      </c>
      <c r="DB416">
        <v>3</v>
      </c>
      <c r="DC416" t="s">
        <v>132</v>
      </c>
      <c r="DD416" t="s">
        <v>133</v>
      </c>
      <c r="DG416">
        <v>8263390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1</v>
      </c>
      <c r="DQ416">
        <v>0</v>
      </c>
      <c r="DR416">
        <v>0</v>
      </c>
      <c r="DS416">
        <v>0</v>
      </c>
    </row>
    <row r="417" spans="1:123" x14ac:dyDescent="0.25">
      <c r="A417" t="str">
        <f>"11/29/2023 20:21:23.586"</f>
        <v>11/29/2023 20:21:23.586</v>
      </c>
      <c r="C417" t="str">
        <f t="shared" si="49"/>
        <v>FFDF53C0</v>
      </c>
      <c r="D417" t="s">
        <v>135</v>
      </c>
      <c r="E417">
        <v>31</v>
      </c>
      <c r="H417">
        <v>285</v>
      </c>
      <c r="I417" t="s">
        <v>136</v>
      </c>
      <c r="J417" t="s">
        <v>137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 t="shared" si="53"/>
        <v>20:21:23.281</v>
      </c>
      <c r="T417" t="str">
        <f t="shared" si="53"/>
        <v>20:21:23.281</v>
      </c>
      <c r="U417" t="str">
        <f t="shared" si="50"/>
        <v>AA0632</v>
      </c>
      <c r="V417">
        <v>0</v>
      </c>
      <c r="W417">
        <v>0</v>
      </c>
      <c r="X417">
        <v>2</v>
      </c>
      <c r="Y417">
        <v>0</v>
      </c>
      <c r="AA417">
        <v>0</v>
      </c>
      <c r="AB417">
        <v>9</v>
      </c>
      <c r="AC417">
        <v>3</v>
      </c>
      <c r="AD417">
        <v>0</v>
      </c>
      <c r="AE417">
        <v>10</v>
      </c>
      <c r="AF417" t="s">
        <v>126</v>
      </c>
      <c r="AG417">
        <v>0</v>
      </c>
      <c r="AH417">
        <v>0</v>
      </c>
      <c r="AI417">
        <v>2</v>
      </c>
      <c r="AJ417">
        <v>0</v>
      </c>
      <c r="AK417" t="s">
        <v>339</v>
      </c>
      <c r="AL417">
        <v>31.954336000000001</v>
      </c>
      <c r="AM417" t="s">
        <v>340</v>
      </c>
      <c r="AN417">
        <v>-101.115482</v>
      </c>
      <c r="AQ417" t="s">
        <v>129</v>
      </c>
      <c r="AR417">
        <v>81</v>
      </c>
      <c r="AS417">
        <v>-43</v>
      </c>
      <c r="AT417">
        <v>-192</v>
      </c>
      <c r="BB417" t="str">
        <f t="shared" si="51"/>
        <v>1200</v>
      </c>
      <c r="BC417">
        <v>1</v>
      </c>
      <c r="BD417" t="str">
        <f t="shared" si="52"/>
        <v xml:space="preserve">N745MB  </v>
      </c>
      <c r="BE417">
        <v>1</v>
      </c>
      <c r="BG417">
        <v>0</v>
      </c>
      <c r="BH417">
        <v>0</v>
      </c>
      <c r="BI417">
        <v>0</v>
      </c>
      <c r="BL417" t="s">
        <v>130</v>
      </c>
      <c r="BM417">
        <v>1</v>
      </c>
      <c r="BN417">
        <v>0</v>
      </c>
      <c r="BO417">
        <v>0</v>
      </c>
      <c r="BP417">
        <v>0</v>
      </c>
      <c r="BT417">
        <v>0</v>
      </c>
      <c r="BU417">
        <v>0</v>
      </c>
      <c r="CE417" t="str">
        <f>"20:21:23.285"</f>
        <v>20:21:23.285</v>
      </c>
      <c r="CF417">
        <v>284878795</v>
      </c>
      <c r="CS417">
        <v>0</v>
      </c>
      <c r="CT417">
        <v>2</v>
      </c>
      <c r="CU417">
        <v>0</v>
      </c>
      <c r="CV417">
        <v>2</v>
      </c>
      <c r="CW417">
        <v>0</v>
      </c>
      <c r="CX417">
        <v>2</v>
      </c>
      <c r="CY417">
        <v>7</v>
      </c>
      <c r="CZ417" t="s">
        <v>131</v>
      </c>
      <c r="DA417">
        <v>116</v>
      </c>
      <c r="DB417">
        <v>3</v>
      </c>
      <c r="DC417" t="s">
        <v>132</v>
      </c>
      <c r="DD417" t="s">
        <v>133</v>
      </c>
      <c r="DG417">
        <v>8263390</v>
      </c>
      <c r="DI417">
        <v>0</v>
      </c>
      <c r="DJ417">
        <v>0</v>
      </c>
      <c r="DK417">
        <v>1</v>
      </c>
      <c r="DL417">
        <v>0</v>
      </c>
      <c r="DM417">
        <v>0</v>
      </c>
      <c r="DN417">
        <v>0</v>
      </c>
      <c r="DO417">
        <v>0</v>
      </c>
      <c r="DP417">
        <v>1</v>
      </c>
      <c r="DQ417">
        <v>0</v>
      </c>
      <c r="DR417">
        <v>0</v>
      </c>
      <c r="DS417">
        <v>0</v>
      </c>
    </row>
    <row r="418" spans="1:123" x14ac:dyDescent="0.25">
      <c r="A418" t="str">
        <f>"11/29/2023 20:21:23.617"</f>
        <v>11/29/2023 20:21:23.617</v>
      </c>
      <c r="C418" t="str">
        <f t="shared" si="49"/>
        <v>FFDF53C0</v>
      </c>
      <c r="D418" t="s">
        <v>138</v>
      </c>
      <c r="E418">
        <v>3</v>
      </c>
      <c r="H418">
        <v>160</v>
      </c>
      <c r="I418" t="s">
        <v>124</v>
      </c>
      <c r="J418" t="s">
        <v>139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 t="shared" si="53"/>
        <v>20:21:23.281</v>
      </c>
      <c r="T418" t="str">
        <f t="shared" si="53"/>
        <v>20:21:23.281</v>
      </c>
      <c r="U418" t="str">
        <f t="shared" si="50"/>
        <v>AA0632</v>
      </c>
      <c r="V418">
        <v>0</v>
      </c>
      <c r="W418">
        <v>0</v>
      </c>
      <c r="X418">
        <v>2</v>
      </c>
      <c r="Y418">
        <v>0</v>
      </c>
      <c r="AA418">
        <v>0</v>
      </c>
      <c r="AB418">
        <v>9</v>
      </c>
      <c r="AC418">
        <v>3</v>
      </c>
      <c r="AD418">
        <v>0</v>
      </c>
      <c r="AE418">
        <v>10</v>
      </c>
      <c r="AF418" t="s">
        <v>126</v>
      </c>
      <c r="AG418">
        <v>0</v>
      </c>
      <c r="AH418">
        <v>0</v>
      </c>
      <c r="AI418">
        <v>2</v>
      </c>
      <c r="AJ418">
        <v>0</v>
      </c>
      <c r="AK418" t="s">
        <v>339</v>
      </c>
      <c r="AL418">
        <v>31.954336000000001</v>
      </c>
      <c r="AM418" t="s">
        <v>340</v>
      </c>
      <c r="AN418">
        <v>-101.115482</v>
      </c>
      <c r="AQ418" t="s">
        <v>129</v>
      </c>
      <c r="AR418">
        <v>81</v>
      </c>
      <c r="AS418">
        <v>-43</v>
      </c>
      <c r="AT418">
        <v>-192</v>
      </c>
      <c r="BB418" t="str">
        <f t="shared" si="51"/>
        <v>1200</v>
      </c>
      <c r="BC418">
        <v>1</v>
      </c>
      <c r="BD418" t="str">
        <f t="shared" si="52"/>
        <v xml:space="preserve">N745MB  </v>
      </c>
      <c r="BE418">
        <v>1</v>
      </c>
      <c r="BG418">
        <v>0</v>
      </c>
      <c r="BH418">
        <v>0</v>
      </c>
      <c r="BI418">
        <v>0</v>
      </c>
      <c r="BL418" t="s">
        <v>130</v>
      </c>
      <c r="BM418">
        <v>1</v>
      </c>
      <c r="BN418">
        <v>0</v>
      </c>
      <c r="BO418">
        <v>0</v>
      </c>
      <c r="BP418">
        <v>0</v>
      </c>
      <c r="BT418">
        <v>0</v>
      </c>
      <c r="BU418">
        <v>0</v>
      </c>
      <c r="CE418" t="str">
        <f>"20:21:23.285"</f>
        <v>20:21:23.285</v>
      </c>
      <c r="CF418">
        <v>284878795</v>
      </c>
      <c r="CS418">
        <v>0</v>
      </c>
      <c r="CT418">
        <v>2</v>
      </c>
      <c r="CU418">
        <v>0</v>
      </c>
      <c r="CV418">
        <v>2</v>
      </c>
      <c r="CW418">
        <v>0</v>
      </c>
      <c r="CX418">
        <v>2</v>
      </c>
      <c r="CY418">
        <v>7</v>
      </c>
      <c r="CZ418" t="s">
        <v>131</v>
      </c>
      <c r="DA418">
        <v>116</v>
      </c>
      <c r="DB418">
        <v>3</v>
      </c>
      <c r="DC418" t="s">
        <v>132</v>
      </c>
      <c r="DD418" t="s">
        <v>133</v>
      </c>
      <c r="DG418">
        <v>8263390</v>
      </c>
      <c r="DI418">
        <v>0</v>
      </c>
      <c r="DJ418">
        <v>0</v>
      </c>
      <c r="DK418">
        <v>1</v>
      </c>
      <c r="DL418">
        <v>0</v>
      </c>
      <c r="DM418">
        <v>0</v>
      </c>
      <c r="DN418">
        <v>0</v>
      </c>
      <c r="DO418">
        <v>0</v>
      </c>
      <c r="DP418">
        <v>1</v>
      </c>
      <c r="DQ418">
        <v>0</v>
      </c>
      <c r="DR418">
        <v>0</v>
      </c>
      <c r="DS418">
        <v>0</v>
      </c>
    </row>
    <row r="419" spans="1:123" x14ac:dyDescent="0.25">
      <c r="A419" t="str">
        <f>"11/29/2023 20:21:23.617"</f>
        <v>11/29/2023 20:21:23.617</v>
      </c>
      <c r="C419" t="str">
        <f t="shared" si="49"/>
        <v>FFDF53C0</v>
      </c>
      <c r="D419" t="s">
        <v>123</v>
      </c>
      <c r="E419">
        <v>14</v>
      </c>
      <c r="F419">
        <v>1014</v>
      </c>
      <c r="G419" t="s">
        <v>124</v>
      </c>
      <c r="J419" t="s">
        <v>125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 t="shared" si="53"/>
        <v>20:21:23.281</v>
      </c>
      <c r="T419" t="str">
        <f t="shared" si="53"/>
        <v>20:21:23.281</v>
      </c>
      <c r="U419" t="str">
        <f t="shared" si="50"/>
        <v>AA0632</v>
      </c>
      <c r="V419">
        <v>0</v>
      </c>
      <c r="W419">
        <v>0</v>
      </c>
      <c r="X419">
        <v>2</v>
      </c>
      <c r="Y419">
        <v>0</v>
      </c>
      <c r="AA419">
        <v>0</v>
      </c>
      <c r="AB419">
        <v>9</v>
      </c>
      <c r="AC419">
        <v>3</v>
      </c>
      <c r="AD419">
        <v>0</v>
      </c>
      <c r="AE419">
        <v>10</v>
      </c>
      <c r="AF419" t="s">
        <v>126</v>
      </c>
      <c r="AG419">
        <v>0</v>
      </c>
      <c r="AH419">
        <v>0</v>
      </c>
      <c r="AI419">
        <v>2</v>
      </c>
      <c r="AJ419">
        <v>0</v>
      </c>
      <c r="AK419" t="s">
        <v>339</v>
      </c>
      <c r="AL419">
        <v>31.954336000000001</v>
      </c>
      <c r="AM419" t="s">
        <v>340</v>
      </c>
      <c r="AN419">
        <v>-101.115482</v>
      </c>
      <c r="AQ419" t="s">
        <v>129</v>
      </c>
      <c r="AR419">
        <v>81</v>
      </c>
      <c r="AS419">
        <v>-43</v>
      </c>
      <c r="AT419">
        <v>-192</v>
      </c>
      <c r="BB419" t="str">
        <f t="shared" si="51"/>
        <v>1200</v>
      </c>
      <c r="BC419">
        <v>1</v>
      </c>
      <c r="BD419" t="str">
        <f t="shared" si="52"/>
        <v xml:space="preserve">N745MB  </v>
      </c>
      <c r="BE419">
        <v>1</v>
      </c>
      <c r="BG419">
        <v>0</v>
      </c>
      <c r="BH419">
        <v>0</v>
      </c>
      <c r="BI419">
        <v>0</v>
      </c>
      <c r="BL419" t="s">
        <v>130</v>
      </c>
      <c r="BM419">
        <v>1</v>
      </c>
      <c r="BN419">
        <v>0</v>
      </c>
      <c r="BO419">
        <v>0</v>
      </c>
      <c r="BP419">
        <v>0</v>
      </c>
      <c r="BT419">
        <v>0</v>
      </c>
      <c r="BU419">
        <v>0</v>
      </c>
      <c r="CE419" t="str">
        <f>"20:21:23.285"</f>
        <v>20:21:23.285</v>
      </c>
      <c r="CF419">
        <v>284878795</v>
      </c>
      <c r="CS419">
        <v>0</v>
      </c>
      <c r="CT419">
        <v>2</v>
      </c>
      <c r="CU419">
        <v>0</v>
      </c>
      <c r="CV419">
        <v>2</v>
      </c>
      <c r="CW419">
        <v>0</v>
      </c>
      <c r="CX419">
        <v>2</v>
      </c>
      <c r="CY419">
        <v>7</v>
      </c>
      <c r="CZ419" t="s">
        <v>131</v>
      </c>
      <c r="DA419">
        <v>116</v>
      </c>
      <c r="DB419">
        <v>3</v>
      </c>
      <c r="DC419" t="s">
        <v>132</v>
      </c>
      <c r="DD419" t="s">
        <v>133</v>
      </c>
      <c r="DG419">
        <v>8263390</v>
      </c>
      <c r="DI419">
        <v>0</v>
      </c>
      <c r="DJ419">
        <v>0</v>
      </c>
      <c r="DK419">
        <v>1</v>
      </c>
      <c r="DL419">
        <v>0</v>
      </c>
      <c r="DM419">
        <v>0</v>
      </c>
      <c r="DN419">
        <v>0</v>
      </c>
      <c r="DO419">
        <v>0</v>
      </c>
      <c r="DP419">
        <v>1</v>
      </c>
      <c r="DQ419">
        <v>0</v>
      </c>
      <c r="DR419">
        <v>0</v>
      </c>
      <c r="DS419">
        <v>0</v>
      </c>
    </row>
    <row r="420" spans="1:123" x14ac:dyDescent="0.25">
      <c r="A420" t="str">
        <f>"11/29/2023 20:21:24.836"</f>
        <v>11/29/2023 20:21:24.836</v>
      </c>
      <c r="C420" t="str">
        <f t="shared" si="49"/>
        <v>FFDF53C0</v>
      </c>
      <c r="D420" t="s">
        <v>123</v>
      </c>
      <c r="E420">
        <v>1</v>
      </c>
      <c r="F420">
        <v>1001</v>
      </c>
      <c r="G420" t="s">
        <v>134</v>
      </c>
      <c r="J420" t="s">
        <v>125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"20:21:24.359"</f>
        <v>20:21:24.359</v>
      </c>
      <c r="T420" t="str">
        <f>"20:21:24.159"</f>
        <v>20:21:24.159</v>
      </c>
      <c r="U420" t="str">
        <f t="shared" si="50"/>
        <v>AA0632</v>
      </c>
      <c r="V420">
        <v>0</v>
      </c>
      <c r="W420">
        <v>0</v>
      </c>
      <c r="X420">
        <v>2</v>
      </c>
      <c r="Y420">
        <v>0</v>
      </c>
      <c r="AA420">
        <v>0</v>
      </c>
      <c r="AB420">
        <v>9</v>
      </c>
      <c r="AC420">
        <v>3</v>
      </c>
      <c r="AD420">
        <v>0</v>
      </c>
      <c r="AE420">
        <v>10</v>
      </c>
      <c r="AF420" t="s">
        <v>126</v>
      </c>
      <c r="AG420">
        <v>0</v>
      </c>
      <c r="AH420">
        <v>0</v>
      </c>
      <c r="AI420">
        <v>2</v>
      </c>
      <c r="AJ420">
        <v>0</v>
      </c>
      <c r="AK420" t="s">
        <v>341</v>
      </c>
      <c r="AL420">
        <v>31.954165</v>
      </c>
      <c r="AM420" t="s">
        <v>157</v>
      </c>
      <c r="AN420">
        <v>-101.115031</v>
      </c>
      <c r="AQ420" t="s">
        <v>129</v>
      </c>
      <c r="AR420">
        <v>81</v>
      </c>
      <c r="AS420">
        <v>-43</v>
      </c>
      <c r="AT420">
        <v>-256</v>
      </c>
      <c r="BB420" t="str">
        <f t="shared" si="51"/>
        <v>1200</v>
      </c>
      <c r="BC420">
        <v>1</v>
      </c>
      <c r="BD420" t="str">
        <f t="shared" si="52"/>
        <v xml:space="preserve">N745MB  </v>
      </c>
      <c r="BE420">
        <v>1</v>
      </c>
      <c r="BG420">
        <v>0</v>
      </c>
      <c r="BH420">
        <v>0</v>
      </c>
      <c r="BI420">
        <v>0</v>
      </c>
      <c r="BL420" t="s">
        <v>130</v>
      </c>
      <c r="BM420">
        <v>1</v>
      </c>
      <c r="BN420">
        <v>0</v>
      </c>
      <c r="BO420">
        <v>0</v>
      </c>
      <c r="BP420">
        <v>0</v>
      </c>
      <c r="BT420">
        <v>0</v>
      </c>
      <c r="BU420">
        <v>0</v>
      </c>
      <c r="CE420" t="str">
        <f>"20:21:24.367"</f>
        <v>20:21:24.367</v>
      </c>
      <c r="CF420">
        <v>366806481</v>
      </c>
      <c r="CS420">
        <v>0</v>
      </c>
      <c r="CT420">
        <v>2</v>
      </c>
      <c r="CU420">
        <v>0</v>
      </c>
      <c r="CV420">
        <v>2</v>
      </c>
      <c r="CW420">
        <v>0</v>
      </c>
      <c r="CX420">
        <v>2</v>
      </c>
      <c r="CY420">
        <v>7</v>
      </c>
      <c r="CZ420" t="s">
        <v>131</v>
      </c>
      <c r="DA420">
        <v>116</v>
      </c>
      <c r="DB420">
        <v>3</v>
      </c>
      <c r="DC420" t="s">
        <v>132</v>
      </c>
      <c r="DD420" t="s">
        <v>133</v>
      </c>
      <c r="DG420">
        <v>8263993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1</v>
      </c>
      <c r="DQ420">
        <v>0</v>
      </c>
      <c r="DR420">
        <v>0</v>
      </c>
      <c r="DS420">
        <v>0</v>
      </c>
    </row>
    <row r="421" spans="1:123" x14ac:dyDescent="0.25">
      <c r="A421" t="str">
        <f>"11/29/2023 20:21:24.836"</f>
        <v>11/29/2023 20:21:24.836</v>
      </c>
      <c r="C421" t="str">
        <f t="shared" si="49"/>
        <v>FFDF53C0</v>
      </c>
      <c r="D421" t="s">
        <v>135</v>
      </c>
      <c r="E421">
        <v>31</v>
      </c>
      <c r="H421">
        <v>285</v>
      </c>
      <c r="I421" t="s">
        <v>136</v>
      </c>
      <c r="J421" t="s">
        <v>137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"20:21:24.359"</f>
        <v>20:21:24.359</v>
      </c>
      <c r="T421" t="str">
        <f>"20:21:24.159"</f>
        <v>20:21:24.159</v>
      </c>
      <c r="U421" t="str">
        <f t="shared" si="50"/>
        <v>AA0632</v>
      </c>
      <c r="V421">
        <v>0</v>
      </c>
      <c r="W421">
        <v>0</v>
      </c>
      <c r="X421">
        <v>2</v>
      </c>
      <c r="Y421">
        <v>0</v>
      </c>
      <c r="AA421">
        <v>0</v>
      </c>
      <c r="AB421">
        <v>9</v>
      </c>
      <c r="AC421">
        <v>3</v>
      </c>
      <c r="AD421">
        <v>0</v>
      </c>
      <c r="AE421">
        <v>10</v>
      </c>
      <c r="AF421" t="s">
        <v>126</v>
      </c>
      <c r="AG421">
        <v>0</v>
      </c>
      <c r="AH421">
        <v>0</v>
      </c>
      <c r="AI421">
        <v>2</v>
      </c>
      <c r="AJ421">
        <v>0</v>
      </c>
      <c r="AK421" t="s">
        <v>341</v>
      </c>
      <c r="AL421">
        <v>31.954165</v>
      </c>
      <c r="AM421" t="s">
        <v>157</v>
      </c>
      <c r="AN421">
        <v>-101.115031</v>
      </c>
      <c r="AQ421" t="s">
        <v>129</v>
      </c>
      <c r="AR421">
        <v>81</v>
      </c>
      <c r="AS421">
        <v>-43</v>
      </c>
      <c r="AT421">
        <v>-256</v>
      </c>
      <c r="BB421" t="str">
        <f t="shared" si="51"/>
        <v>1200</v>
      </c>
      <c r="BC421">
        <v>1</v>
      </c>
      <c r="BD421" t="str">
        <f t="shared" si="52"/>
        <v xml:space="preserve">N745MB  </v>
      </c>
      <c r="BE421">
        <v>1</v>
      </c>
      <c r="BG421">
        <v>0</v>
      </c>
      <c r="BH421">
        <v>0</v>
      </c>
      <c r="BI421">
        <v>0</v>
      </c>
      <c r="BL421" t="s">
        <v>130</v>
      </c>
      <c r="BM421">
        <v>1</v>
      </c>
      <c r="BN421">
        <v>0</v>
      </c>
      <c r="BO421">
        <v>0</v>
      </c>
      <c r="BP421">
        <v>0</v>
      </c>
      <c r="BT421">
        <v>0</v>
      </c>
      <c r="BU421">
        <v>0</v>
      </c>
      <c r="CE421" t="str">
        <f>"20:21:24.367"</f>
        <v>20:21:24.367</v>
      </c>
      <c r="CF421">
        <v>366806481</v>
      </c>
      <c r="CS421">
        <v>0</v>
      </c>
      <c r="CT421">
        <v>2</v>
      </c>
      <c r="CU421">
        <v>0</v>
      </c>
      <c r="CV421">
        <v>2</v>
      </c>
      <c r="CW421">
        <v>0</v>
      </c>
      <c r="CX421">
        <v>2</v>
      </c>
      <c r="CY421">
        <v>7</v>
      </c>
      <c r="CZ421" t="s">
        <v>131</v>
      </c>
      <c r="DA421">
        <v>116</v>
      </c>
      <c r="DB421">
        <v>3</v>
      </c>
      <c r="DC421" t="s">
        <v>132</v>
      </c>
      <c r="DD421" t="s">
        <v>133</v>
      </c>
      <c r="DG421">
        <v>8263993</v>
      </c>
      <c r="DI421">
        <v>0</v>
      </c>
      <c r="DJ421">
        <v>0</v>
      </c>
      <c r="DK421">
        <v>1</v>
      </c>
      <c r="DL421">
        <v>0</v>
      </c>
      <c r="DM421">
        <v>0</v>
      </c>
      <c r="DN421">
        <v>0</v>
      </c>
      <c r="DO421">
        <v>0</v>
      </c>
      <c r="DP421">
        <v>1</v>
      </c>
      <c r="DQ421">
        <v>0</v>
      </c>
      <c r="DR421">
        <v>0</v>
      </c>
      <c r="DS421">
        <v>0</v>
      </c>
    </row>
    <row r="422" spans="1:123" x14ac:dyDescent="0.25">
      <c r="A422" t="str">
        <f>"11/29/2023 20:21:24.836"</f>
        <v>11/29/2023 20:21:24.836</v>
      </c>
      <c r="C422" t="str">
        <f t="shared" si="49"/>
        <v>FFDF53C0</v>
      </c>
      <c r="D422" t="s">
        <v>138</v>
      </c>
      <c r="E422">
        <v>3</v>
      </c>
      <c r="H422">
        <v>160</v>
      </c>
      <c r="I422" t="s">
        <v>124</v>
      </c>
      <c r="J422" t="s">
        <v>139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"20:21:24.359"</f>
        <v>20:21:24.359</v>
      </c>
      <c r="T422" t="str">
        <f>"20:21:24.159"</f>
        <v>20:21:24.159</v>
      </c>
      <c r="U422" t="str">
        <f t="shared" si="50"/>
        <v>AA0632</v>
      </c>
      <c r="V422">
        <v>0</v>
      </c>
      <c r="W422">
        <v>0</v>
      </c>
      <c r="X422">
        <v>2</v>
      </c>
      <c r="Y422">
        <v>0</v>
      </c>
      <c r="AA422">
        <v>0</v>
      </c>
      <c r="AB422">
        <v>9</v>
      </c>
      <c r="AC422">
        <v>3</v>
      </c>
      <c r="AD422">
        <v>0</v>
      </c>
      <c r="AE422">
        <v>10</v>
      </c>
      <c r="AF422" t="s">
        <v>126</v>
      </c>
      <c r="AG422">
        <v>0</v>
      </c>
      <c r="AH422">
        <v>0</v>
      </c>
      <c r="AI422">
        <v>2</v>
      </c>
      <c r="AJ422">
        <v>0</v>
      </c>
      <c r="AK422" t="s">
        <v>341</v>
      </c>
      <c r="AL422">
        <v>31.954165</v>
      </c>
      <c r="AM422" t="s">
        <v>157</v>
      </c>
      <c r="AN422">
        <v>-101.115031</v>
      </c>
      <c r="AQ422" t="s">
        <v>129</v>
      </c>
      <c r="AR422">
        <v>81</v>
      </c>
      <c r="AS422">
        <v>-43</v>
      </c>
      <c r="AT422">
        <v>-256</v>
      </c>
      <c r="BB422" t="str">
        <f t="shared" si="51"/>
        <v>1200</v>
      </c>
      <c r="BC422">
        <v>1</v>
      </c>
      <c r="BD422" t="str">
        <f t="shared" si="52"/>
        <v xml:space="preserve">N745MB  </v>
      </c>
      <c r="BE422">
        <v>1</v>
      </c>
      <c r="BG422">
        <v>0</v>
      </c>
      <c r="BH422">
        <v>0</v>
      </c>
      <c r="BI422">
        <v>0</v>
      </c>
      <c r="BL422" t="s">
        <v>130</v>
      </c>
      <c r="BM422">
        <v>1</v>
      </c>
      <c r="BN422">
        <v>0</v>
      </c>
      <c r="BO422">
        <v>0</v>
      </c>
      <c r="BP422">
        <v>0</v>
      </c>
      <c r="BT422">
        <v>0</v>
      </c>
      <c r="BU422">
        <v>0</v>
      </c>
      <c r="CE422" t="str">
        <f>"20:21:24.367"</f>
        <v>20:21:24.367</v>
      </c>
      <c r="CF422">
        <v>366806481</v>
      </c>
      <c r="CS422">
        <v>0</v>
      </c>
      <c r="CT422">
        <v>2</v>
      </c>
      <c r="CU422">
        <v>0</v>
      </c>
      <c r="CV422">
        <v>2</v>
      </c>
      <c r="CW422">
        <v>0</v>
      </c>
      <c r="CX422">
        <v>2</v>
      </c>
      <c r="CY422">
        <v>7</v>
      </c>
      <c r="CZ422" t="s">
        <v>131</v>
      </c>
      <c r="DA422">
        <v>116</v>
      </c>
      <c r="DB422">
        <v>3</v>
      </c>
      <c r="DC422" t="s">
        <v>132</v>
      </c>
      <c r="DD422" t="s">
        <v>133</v>
      </c>
      <c r="DG422">
        <v>8263993</v>
      </c>
      <c r="DI422">
        <v>0</v>
      </c>
      <c r="DJ422">
        <v>0</v>
      </c>
      <c r="DK422">
        <v>1</v>
      </c>
      <c r="DL422">
        <v>0</v>
      </c>
      <c r="DM422">
        <v>0</v>
      </c>
      <c r="DN422">
        <v>0</v>
      </c>
      <c r="DO422">
        <v>0</v>
      </c>
      <c r="DP422">
        <v>1</v>
      </c>
      <c r="DQ422">
        <v>0</v>
      </c>
      <c r="DR422">
        <v>0</v>
      </c>
      <c r="DS422">
        <v>0</v>
      </c>
    </row>
    <row r="423" spans="1:123" x14ac:dyDescent="0.25">
      <c r="A423" t="str">
        <f>"11/29/2023 20:21:24.836"</f>
        <v>11/29/2023 20:21:24.836</v>
      </c>
      <c r="C423" t="str">
        <f t="shared" ref="C423:C447" si="54">"FFDF53C0"</f>
        <v>FFDF53C0</v>
      </c>
      <c r="D423" t="s">
        <v>123</v>
      </c>
      <c r="E423">
        <v>14</v>
      </c>
      <c r="F423">
        <v>1014</v>
      </c>
      <c r="G423" t="s">
        <v>124</v>
      </c>
      <c r="J423" t="s">
        <v>125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"20:21:24.359"</f>
        <v>20:21:24.359</v>
      </c>
      <c r="T423" t="str">
        <f>"20:21:24.159"</f>
        <v>20:21:24.159</v>
      </c>
      <c r="U423" t="str">
        <f t="shared" si="50"/>
        <v>AA0632</v>
      </c>
      <c r="V423">
        <v>0</v>
      </c>
      <c r="W423">
        <v>0</v>
      </c>
      <c r="X423">
        <v>2</v>
      </c>
      <c r="Y423">
        <v>0</v>
      </c>
      <c r="AA423">
        <v>0</v>
      </c>
      <c r="AB423">
        <v>9</v>
      </c>
      <c r="AC423">
        <v>3</v>
      </c>
      <c r="AD423">
        <v>0</v>
      </c>
      <c r="AE423">
        <v>10</v>
      </c>
      <c r="AF423" t="s">
        <v>126</v>
      </c>
      <c r="AG423">
        <v>0</v>
      </c>
      <c r="AH423">
        <v>0</v>
      </c>
      <c r="AI423">
        <v>2</v>
      </c>
      <c r="AJ423">
        <v>0</v>
      </c>
      <c r="AK423" t="s">
        <v>341</v>
      </c>
      <c r="AL423">
        <v>31.954165</v>
      </c>
      <c r="AM423" t="s">
        <v>157</v>
      </c>
      <c r="AN423">
        <v>-101.115031</v>
      </c>
      <c r="AQ423" t="s">
        <v>129</v>
      </c>
      <c r="AR423">
        <v>81</v>
      </c>
      <c r="AS423">
        <v>-43</v>
      </c>
      <c r="AT423">
        <v>-256</v>
      </c>
      <c r="BB423" t="str">
        <f t="shared" si="51"/>
        <v>1200</v>
      </c>
      <c r="BC423">
        <v>1</v>
      </c>
      <c r="BD423" t="str">
        <f t="shared" si="52"/>
        <v xml:space="preserve">N745MB  </v>
      </c>
      <c r="BE423">
        <v>1</v>
      </c>
      <c r="BG423">
        <v>0</v>
      </c>
      <c r="BH423">
        <v>0</v>
      </c>
      <c r="BI423">
        <v>0</v>
      </c>
      <c r="BL423" t="s">
        <v>130</v>
      </c>
      <c r="BM423">
        <v>1</v>
      </c>
      <c r="BN423">
        <v>0</v>
      </c>
      <c r="BO423">
        <v>0</v>
      </c>
      <c r="BP423">
        <v>0</v>
      </c>
      <c r="BT423">
        <v>0</v>
      </c>
      <c r="BU423">
        <v>0</v>
      </c>
      <c r="CE423" t="str">
        <f>"20:21:24.367"</f>
        <v>20:21:24.367</v>
      </c>
      <c r="CF423">
        <v>366806481</v>
      </c>
      <c r="CS423">
        <v>0</v>
      </c>
      <c r="CT423">
        <v>2</v>
      </c>
      <c r="CU423">
        <v>0</v>
      </c>
      <c r="CV423">
        <v>2</v>
      </c>
      <c r="CW423">
        <v>0</v>
      </c>
      <c r="CX423">
        <v>2</v>
      </c>
      <c r="CY423">
        <v>7</v>
      </c>
      <c r="CZ423" t="s">
        <v>131</v>
      </c>
      <c r="DA423">
        <v>116</v>
      </c>
      <c r="DB423">
        <v>3</v>
      </c>
      <c r="DC423" t="s">
        <v>132</v>
      </c>
      <c r="DD423" t="s">
        <v>133</v>
      </c>
      <c r="DG423">
        <v>8263993</v>
      </c>
      <c r="DI423">
        <v>0</v>
      </c>
      <c r="DJ423">
        <v>0</v>
      </c>
      <c r="DK423">
        <v>1</v>
      </c>
      <c r="DL423">
        <v>0</v>
      </c>
      <c r="DM423">
        <v>0</v>
      </c>
      <c r="DN423">
        <v>0</v>
      </c>
      <c r="DO423">
        <v>0</v>
      </c>
      <c r="DP423">
        <v>1</v>
      </c>
      <c r="DQ423">
        <v>0</v>
      </c>
      <c r="DR423">
        <v>0</v>
      </c>
      <c r="DS423">
        <v>0</v>
      </c>
    </row>
    <row r="424" spans="1:123" x14ac:dyDescent="0.25">
      <c r="A424" t="str">
        <f>"11/29/2023 20:21:25.617"</f>
        <v>11/29/2023 20:21:25.617</v>
      </c>
      <c r="C424" t="str">
        <f t="shared" si="54"/>
        <v>FFDF53C0</v>
      </c>
      <c r="D424" t="s">
        <v>138</v>
      </c>
      <c r="E424">
        <v>3</v>
      </c>
      <c r="H424">
        <v>160</v>
      </c>
      <c r="I424" t="s">
        <v>124</v>
      </c>
      <c r="J424" t="s">
        <v>139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 t="shared" ref="S424:T427" si="55">"20:21:25.289"</f>
        <v>20:21:25.289</v>
      </c>
      <c r="T424" t="str">
        <f t="shared" si="55"/>
        <v>20:21:25.289</v>
      </c>
      <c r="U424" t="str">
        <f t="shared" si="50"/>
        <v>AA0632</v>
      </c>
      <c r="V424">
        <v>0</v>
      </c>
      <c r="W424">
        <v>0</v>
      </c>
      <c r="X424">
        <v>2</v>
      </c>
      <c r="Y424">
        <v>0</v>
      </c>
      <c r="AA424">
        <v>0</v>
      </c>
      <c r="AB424">
        <v>9</v>
      </c>
      <c r="AC424">
        <v>3</v>
      </c>
      <c r="AD424">
        <v>0</v>
      </c>
      <c r="AE424">
        <v>10</v>
      </c>
      <c r="AF424" t="s">
        <v>126</v>
      </c>
      <c r="AG424">
        <v>0</v>
      </c>
      <c r="AH424">
        <v>0</v>
      </c>
      <c r="AI424">
        <v>2</v>
      </c>
      <c r="AJ424">
        <v>0</v>
      </c>
      <c r="AK424" t="s">
        <v>342</v>
      </c>
      <c r="AL424">
        <v>31.953970999999999</v>
      </c>
      <c r="AM424" t="s">
        <v>343</v>
      </c>
      <c r="AN424">
        <v>-101.114602</v>
      </c>
      <c r="AQ424" t="s">
        <v>129</v>
      </c>
      <c r="AR424">
        <v>81</v>
      </c>
      <c r="AS424">
        <v>-43</v>
      </c>
      <c r="AT424">
        <v>-320</v>
      </c>
      <c r="BB424" t="str">
        <f t="shared" si="51"/>
        <v>1200</v>
      </c>
      <c r="BC424">
        <v>1</v>
      </c>
      <c r="BD424" t="str">
        <f t="shared" si="52"/>
        <v xml:space="preserve">N745MB  </v>
      </c>
      <c r="BE424">
        <v>1</v>
      </c>
      <c r="BG424">
        <v>0</v>
      </c>
      <c r="BH424">
        <v>0</v>
      </c>
      <c r="BI424">
        <v>0</v>
      </c>
      <c r="BL424" t="s">
        <v>130</v>
      </c>
      <c r="BM424">
        <v>1</v>
      </c>
      <c r="BN424">
        <v>0</v>
      </c>
      <c r="BO424">
        <v>0</v>
      </c>
      <c r="BP424">
        <v>0</v>
      </c>
      <c r="BT424">
        <v>0</v>
      </c>
      <c r="BU424">
        <v>0</v>
      </c>
      <c r="CE424" t="str">
        <f>"20:21:25.293"</f>
        <v>20:21:25.293</v>
      </c>
      <c r="CF424">
        <v>292741238</v>
      </c>
      <c r="CS424">
        <v>0</v>
      </c>
      <c r="CT424">
        <v>2</v>
      </c>
      <c r="CU424">
        <v>0</v>
      </c>
      <c r="CV424">
        <v>2</v>
      </c>
      <c r="CW424">
        <v>0</v>
      </c>
      <c r="CX424">
        <v>2</v>
      </c>
      <c r="CY424">
        <v>7</v>
      </c>
      <c r="CZ424" t="s">
        <v>131</v>
      </c>
      <c r="DA424">
        <v>116</v>
      </c>
      <c r="DB424">
        <v>3</v>
      </c>
      <c r="DC424" t="s">
        <v>132</v>
      </c>
      <c r="DD424" t="s">
        <v>133</v>
      </c>
      <c r="DG424">
        <v>8264493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1</v>
      </c>
      <c r="DQ424">
        <v>0</v>
      </c>
      <c r="DR424">
        <v>0</v>
      </c>
      <c r="DS424">
        <v>0</v>
      </c>
    </row>
    <row r="425" spans="1:123" x14ac:dyDescent="0.25">
      <c r="A425" t="str">
        <f>"11/29/2023 20:21:25.617"</f>
        <v>11/29/2023 20:21:25.617</v>
      </c>
      <c r="C425" t="str">
        <f t="shared" si="54"/>
        <v>FFDF53C0</v>
      </c>
      <c r="D425" t="s">
        <v>123</v>
      </c>
      <c r="E425">
        <v>14</v>
      </c>
      <c r="F425">
        <v>1014</v>
      </c>
      <c r="G425" t="s">
        <v>124</v>
      </c>
      <c r="J425" t="s">
        <v>125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 t="shared" si="55"/>
        <v>20:21:25.289</v>
      </c>
      <c r="T425" t="str">
        <f t="shared" si="55"/>
        <v>20:21:25.289</v>
      </c>
      <c r="U425" t="str">
        <f t="shared" si="50"/>
        <v>AA0632</v>
      </c>
      <c r="V425">
        <v>0</v>
      </c>
      <c r="W425">
        <v>0</v>
      </c>
      <c r="X425">
        <v>2</v>
      </c>
      <c r="Y425">
        <v>0</v>
      </c>
      <c r="AA425">
        <v>0</v>
      </c>
      <c r="AB425">
        <v>9</v>
      </c>
      <c r="AC425">
        <v>3</v>
      </c>
      <c r="AD425">
        <v>0</v>
      </c>
      <c r="AE425">
        <v>10</v>
      </c>
      <c r="AF425" t="s">
        <v>126</v>
      </c>
      <c r="AG425">
        <v>0</v>
      </c>
      <c r="AH425">
        <v>0</v>
      </c>
      <c r="AI425">
        <v>2</v>
      </c>
      <c r="AJ425">
        <v>0</v>
      </c>
      <c r="AK425" t="s">
        <v>342</v>
      </c>
      <c r="AL425">
        <v>31.953970999999999</v>
      </c>
      <c r="AM425" t="s">
        <v>343</v>
      </c>
      <c r="AN425">
        <v>-101.114602</v>
      </c>
      <c r="AQ425" t="s">
        <v>129</v>
      </c>
      <c r="AR425">
        <v>81</v>
      </c>
      <c r="AS425">
        <v>-43</v>
      </c>
      <c r="AT425">
        <v>-320</v>
      </c>
      <c r="BB425" t="str">
        <f t="shared" si="51"/>
        <v>1200</v>
      </c>
      <c r="BC425">
        <v>1</v>
      </c>
      <c r="BD425" t="str">
        <f t="shared" si="52"/>
        <v xml:space="preserve">N745MB  </v>
      </c>
      <c r="BE425">
        <v>1</v>
      </c>
      <c r="BG425">
        <v>0</v>
      </c>
      <c r="BH425">
        <v>0</v>
      </c>
      <c r="BI425">
        <v>0</v>
      </c>
      <c r="BL425" t="s">
        <v>130</v>
      </c>
      <c r="BM425">
        <v>1</v>
      </c>
      <c r="BN425">
        <v>0</v>
      </c>
      <c r="BO425">
        <v>0</v>
      </c>
      <c r="BP425">
        <v>0</v>
      </c>
      <c r="BT425">
        <v>0</v>
      </c>
      <c r="BU425">
        <v>0</v>
      </c>
      <c r="CE425" t="str">
        <f>"20:21:25.293"</f>
        <v>20:21:25.293</v>
      </c>
      <c r="CF425">
        <v>292741238</v>
      </c>
      <c r="CS425">
        <v>0</v>
      </c>
      <c r="CT425">
        <v>2</v>
      </c>
      <c r="CU425">
        <v>0</v>
      </c>
      <c r="CV425">
        <v>2</v>
      </c>
      <c r="CW425">
        <v>0</v>
      </c>
      <c r="CX425">
        <v>2</v>
      </c>
      <c r="CY425">
        <v>7</v>
      </c>
      <c r="CZ425" t="s">
        <v>131</v>
      </c>
      <c r="DA425">
        <v>116</v>
      </c>
      <c r="DB425">
        <v>3</v>
      </c>
      <c r="DC425" t="s">
        <v>132</v>
      </c>
      <c r="DD425" t="s">
        <v>133</v>
      </c>
      <c r="DG425">
        <v>8264493</v>
      </c>
      <c r="DI425">
        <v>0</v>
      </c>
      <c r="DJ425">
        <v>0</v>
      </c>
      <c r="DK425">
        <v>1</v>
      </c>
      <c r="DL425">
        <v>0</v>
      </c>
      <c r="DM425">
        <v>0</v>
      </c>
      <c r="DN425">
        <v>0</v>
      </c>
      <c r="DO425">
        <v>0</v>
      </c>
      <c r="DP425">
        <v>1</v>
      </c>
      <c r="DQ425">
        <v>0</v>
      </c>
      <c r="DR425">
        <v>0</v>
      </c>
      <c r="DS425">
        <v>0</v>
      </c>
    </row>
    <row r="426" spans="1:123" x14ac:dyDescent="0.25">
      <c r="A426" t="str">
        <f>"11/29/2023 20:21:25.617"</f>
        <v>11/29/2023 20:21:25.617</v>
      </c>
      <c r="C426" t="str">
        <f t="shared" si="54"/>
        <v>FFDF53C0</v>
      </c>
      <c r="D426" t="s">
        <v>123</v>
      </c>
      <c r="E426">
        <v>1</v>
      </c>
      <c r="F426">
        <v>1001</v>
      </c>
      <c r="G426" t="s">
        <v>134</v>
      </c>
      <c r="J426" t="s">
        <v>125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 t="shared" si="55"/>
        <v>20:21:25.289</v>
      </c>
      <c r="T426" t="str">
        <f t="shared" si="55"/>
        <v>20:21:25.289</v>
      </c>
      <c r="U426" t="str">
        <f t="shared" si="50"/>
        <v>AA0632</v>
      </c>
      <c r="V426">
        <v>0</v>
      </c>
      <c r="W426">
        <v>0</v>
      </c>
      <c r="X426">
        <v>2</v>
      </c>
      <c r="Y426">
        <v>0</v>
      </c>
      <c r="AA426">
        <v>0</v>
      </c>
      <c r="AB426">
        <v>9</v>
      </c>
      <c r="AC426">
        <v>3</v>
      </c>
      <c r="AD426">
        <v>0</v>
      </c>
      <c r="AE426">
        <v>10</v>
      </c>
      <c r="AF426" t="s">
        <v>126</v>
      </c>
      <c r="AG426">
        <v>0</v>
      </c>
      <c r="AH426">
        <v>0</v>
      </c>
      <c r="AI426">
        <v>2</v>
      </c>
      <c r="AJ426">
        <v>0</v>
      </c>
      <c r="AK426" t="s">
        <v>342</v>
      </c>
      <c r="AL426">
        <v>31.953970999999999</v>
      </c>
      <c r="AM426" t="s">
        <v>343</v>
      </c>
      <c r="AN426">
        <v>-101.114602</v>
      </c>
      <c r="AQ426" t="s">
        <v>129</v>
      </c>
      <c r="AR426">
        <v>81</v>
      </c>
      <c r="AS426">
        <v>-43</v>
      </c>
      <c r="AT426">
        <v>-320</v>
      </c>
      <c r="BB426" t="str">
        <f t="shared" si="51"/>
        <v>1200</v>
      </c>
      <c r="BC426">
        <v>1</v>
      </c>
      <c r="BD426" t="str">
        <f t="shared" si="52"/>
        <v xml:space="preserve">N745MB  </v>
      </c>
      <c r="BE426">
        <v>1</v>
      </c>
      <c r="BG426">
        <v>0</v>
      </c>
      <c r="BH426">
        <v>0</v>
      </c>
      <c r="BI426">
        <v>0</v>
      </c>
      <c r="BL426" t="s">
        <v>130</v>
      </c>
      <c r="BM426">
        <v>1</v>
      </c>
      <c r="BN426">
        <v>0</v>
      </c>
      <c r="BO426">
        <v>0</v>
      </c>
      <c r="BP426">
        <v>0</v>
      </c>
      <c r="BT426">
        <v>0</v>
      </c>
      <c r="BU426">
        <v>0</v>
      </c>
      <c r="CE426" t="str">
        <f>"20:21:25.293"</f>
        <v>20:21:25.293</v>
      </c>
      <c r="CF426">
        <v>292741238</v>
      </c>
      <c r="CS426">
        <v>0</v>
      </c>
      <c r="CT426">
        <v>2</v>
      </c>
      <c r="CU426">
        <v>0</v>
      </c>
      <c r="CV426">
        <v>2</v>
      </c>
      <c r="CW426">
        <v>0</v>
      </c>
      <c r="CX426">
        <v>2</v>
      </c>
      <c r="CY426">
        <v>7</v>
      </c>
      <c r="CZ426" t="s">
        <v>131</v>
      </c>
      <c r="DA426">
        <v>116</v>
      </c>
      <c r="DB426">
        <v>3</v>
      </c>
      <c r="DC426" t="s">
        <v>132</v>
      </c>
      <c r="DD426" t="s">
        <v>133</v>
      </c>
      <c r="DG426">
        <v>8264493</v>
      </c>
      <c r="DI426">
        <v>0</v>
      </c>
      <c r="DJ426">
        <v>0</v>
      </c>
      <c r="DK426">
        <v>1</v>
      </c>
      <c r="DL426">
        <v>0</v>
      </c>
      <c r="DM426">
        <v>0</v>
      </c>
      <c r="DN426">
        <v>0</v>
      </c>
      <c r="DO426">
        <v>0</v>
      </c>
      <c r="DP426">
        <v>1</v>
      </c>
      <c r="DQ426">
        <v>0</v>
      </c>
      <c r="DR426">
        <v>0</v>
      </c>
      <c r="DS426">
        <v>0</v>
      </c>
    </row>
    <row r="427" spans="1:123" x14ac:dyDescent="0.25">
      <c r="A427" t="str">
        <f>"11/29/2023 20:21:25.617"</f>
        <v>11/29/2023 20:21:25.617</v>
      </c>
      <c r="C427" t="str">
        <f t="shared" si="54"/>
        <v>FFDF53C0</v>
      </c>
      <c r="D427" t="s">
        <v>135</v>
      </c>
      <c r="E427">
        <v>31</v>
      </c>
      <c r="H427">
        <v>285</v>
      </c>
      <c r="I427" t="s">
        <v>136</v>
      </c>
      <c r="J427" t="s">
        <v>137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 t="shared" si="55"/>
        <v>20:21:25.289</v>
      </c>
      <c r="T427" t="str">
        <f t="shared" si="55"/>
        <v>20:21:25.289</v>
      </c>
      <c r="U427" t="str">
        <f t="shared" si="50"/>
        <v>AA0632</v>
      </c>
      <c r="V427">
        <v>0</v>
      </c>
      <c r="W427">
        <v>0</v>
      </c>
      <c r="X427">
        <v>2</v>
      </c>
      <c r="Y427">
        <v>0</v>
      </c>
      <c r="AA427">
        <v>0</v>
      </c>
      <c r="AB427">
        <v>9</v>
      </c>
      <c r="AC427">
        <v>3</v>
      </c>
      <c r="AD427">
        <v>0</v>
      </c>
      <c r="AE427">
        <v>10</v>
      </c>
      <c r="AF427" t="s">
        <v>126</v>
      </c>
      <c r="AG427">
        <v>0</v>
      </c>
      <c r="AH427">
        <v>0</v>
      </c>
      <c r="AI427">
        <v>2</v>
      </c>
      <c r="AJ427">
        <v>0</v>
      </c>
      <c r="AK427" t="s">
        <v>342</v>
      </c>
      <c r="AL427">
        <v>31.953970999999999</v>
      </c>
      <c r="AM427" t="s">
        <v>343</v>
      </c>
      <c r="AN427">
        <v>-101.114602</v>
      </c>
      <c r="AQ427" t="s">
        <v>129</v>
      </c>
      <c r="AR427">
        <v>81</v>
      </c>
      <c r="AS427">
        <v>-43</v>
      </c>
      <c r="AT427">
        <v>-320</v>
      </c>
      <c r="BB427" t="str">
        <f t="shared" si="51"/>
        <v>1200</v>
      </c>
      <c r="BC427">
        <v>1</v>
      </c>
      <c r="BD427" t="str">
        <f t="shared" si="52"/>
        <v xml:space="preserve">N745MB  </v>
      </c>
      <c r="BE427">
        <v>1</v>
      </c>
      <c r="BG427">
        <v>0</v>
      </c>
      <c r="BH427">
        <v>0</v>
      </c>
      <c r="BI427">
        <v>0</v>
      </c>
      <c r="BL427" t="s">
        <v>130</v>
      </c>
      <c r="BM427">
        <v>1</v>
      </c>
      <c r="BN427">
        <v>0</v>
      </c>
      <c r="BO427">
        <v>0</v>
      </c>
      <c r="BP427">
        <v>0</v>
      </c>
      <c r="BT427">
        <v>0</v>
      </c>
      <c r="BU427">
        <v>0</v>
      </c>
      <c r="CE427" t="str">
        <f>"20:21:25.293"</f>
        <v>20:21:25.293</v>
      </c>
      <c r="CF427">
        <v>292741238</v>
      </c>
      <c r="CS427">
        <v>0</v>
      </c>
      <c r="CT427">
        <v>2</v>
      </c>
      <c r="CU427">
        <v>0</v>
      </c>
      <c r="CV427">
        <v>2</v>
      </c>
      <c r="CW427">
        <v>0</v>
      </c>
      <c r="CX427">
        <v>2</v>
      </c>
      <c r="CY427">
        <v>7</v>
      </c>
      <c r="CZ427" t="s">
        <v>131</v>
      </c>
      <c r="DA427">
        <v>116</v>
      </c>
      <c r="DB427">
        <v>3</v>
      </c>
      <c r="DC427" t="s">
        <v>132</v>
      </c>
      <c r="DD427" t="s">
        <v>133</v>
      </c>
      <c r="DG427">
        <v>8264493</v>
      </c>
      <c r="DI427">
        <v>0</v>
      </c>
      <c r="DJ427">
        <v>0</v>
      </c>
      <c r="DK427">
        <v>1</v>
      </c>
      <c r="DL427">
        <v>0</v>
      </c>
      <c r="DM427">
        <v>0</v>
      </c>
      <c r="DN427">
        <v>0</v>
      </c>
      <c r="DO427">
        <v>0</v>
      </c>
      <c r="DP427">
        <v>1</v>
      </c>
      <c r="DQ427">
        <v>0</v>
      </c>
      <c r="DR427">
        <v>0</v>
      </c>
      <c r="DS427">
        <v>0</v>
      </c>
    </row>
    <row r="428" spans="1:123" x14ac:dyDescent="0.25">
      <c r="A428" t="str">
        <f>"11/29/2023 20:21:26.773"</f>
        <v>11/29/2023 20:21:26.773</v>
      </c>
      <c r="C428" t="str">
        <f t="shared" si="54"/>
        <v>FFDF53C0</v>
      </c>
      <c r="D428" t="s">
        <v>123</v>
      </c>
      <c r="E428">
        <v>14</v>
      </c>
      <c r="F428">
        <v>1014</v>
      </c>
      <c r="G428" t="s">
        <v>124</v>
      </c>
      <c r="J428" t="s">
        <v>125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"20:21:26.367"</f>
        <v>20:21:26.367</v>
      </c>
      <c r="T428" t="str">
        <f>"20:21:26.267"</f>
        <v>20:21:26.267</v>
      </c>
      <c r="U428" t="str">
        <f t="shared" si="50"/>
        <v>AA0632</v>
      </c>
      <c r="V428">
        <v>0</v>
      </c>
      <c r="W428">
        <v>0</v>
      </c>
      <c r="X428">
        <v>2</v>
      </c>
      <c r="Y428">
        <v>0</v>
      </c>
      <c r="AA428">
        <v>0</v>
      </c>
      <c r="AB428">
        <v>9</v>
      </c>
      <c r="AC428">
        <v>3</v>
      </c>
      <c r="AD428">
        <v>0</v>
      </c>
      <c r="AE428">
        <v>10</v>
      </c>
      <c r="AF428" t="s">
        <v>126</v>
      </c>
      <c r="AG428">
        <v>0</v>
      </c>
      <c r="AH428">
        <v>0</v>
      </c>
      <c r="AI428">
        <v>2</v>
      </c>
      <c r="AJ428">
        <v>0</v>
      </c>
      <c r="AK428" t="s">
        <v>344</v>
      </c>
      <c r="AL428">
        <v>31.953735000000002</v>
      </c>
      <c r="AM428" t="s">
        <v>345</v>
      </c>
      <c r="AN428">
        <v>-101.114194</v>
      </c>
      <c r="AQ428" t="s">
        <v>129</v>
      </c>
      <c r="AR428">
        <v>81</v>
      </c>
      <c r="AS428">
        <v>-43</v>
      </c>
      <c r="AT428">
        <v>-192</v>
      </c>
      <c r="BB428" t="str">
        <f t="shared" si="51"/>
        <v>1200</v>
      </c>
      <c r="BC428">
        <v>1</v>
      </c>
      <c r="BD428" t="str">
        <f t="shared" si="52"/>
        <v xml:space="preserve">N745MB  </v>
      </c>
      <c r="BE428">
        <v>1</v>
      </c>
      <c r="BG428">
        <v>0</v>
      </c>
      <c r="BH428">
        <v>0</v>
      </c>
      <c r="BI428">
        <v>0</v>
      </c>
      <c r="BL428" t="s">
        <v>130</v>
      </c>
      <c r="BM428">
        <v>1</v>
      </c>
      <c r="BN428">
        <v>0</v>
      </c>
      <c r="BO428">
        <v>0</v>
      </c>
      <c r="BP428">
        <v>0</v>
      </c>
      <c r="BT428">
        <v>0</v>
      </c>
      <c r="BU428">
        <v>0</v>
      </c>
      <c r="CE428" t="str">
        <f>"20:21:26.375"</f>
        <v>20:21:26.375</v>
      </c>
      <c r="CF428">
        <v>374669655</v>
      </c>
      <c r="CS428">
        <v>0</v>
      </c>
      <c r="CT428">
        <v>2</v>
      </c>
      <c r="CU428">
        <v>0</v>
      </c>
      <c r="CV428">
        <v>2</v>
      </c>
      <c r="CW428">
        <v>0</v>
      </c>
      <c r="CX428">
        <v>3</v>
      </c>
      <c r="CY428">
        <v>7</v>
      </c>
      <c r="CZ428" t="s">
        <v>131</v>
      </c>
      <c r="DA428">
        <v>116</v>
      </c>
      <c r="DB428">
        <v>3</v>
      </c>
      <c r="DC428" t="s">
        <v>132</v>
      </c>
      <c r="DD428" t="s">
        <v>133</v>
      </c>
      <c r="DG428">
        <v>8265075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1</v>
      </c>
      <c r="DQ428">
        <v>0</v>
      </c>
      <c r="DR428">
        <v>0</v>
      </c>
      <c r="DS428">
        <v>0</v>
      </c>
    </row>
    <row r="429" spans="1:123" x14ac:dyDescent="0.25">
      <c r="A429" t="str">
        <f>"11/29/2023 20:21:26.773"</f>
        <v>11/29/2023 20:21:26.773</v>
      </c>
      <c r="C429" t="str">
        <f t="shared" si="54"/>
        <v>FFDF53C0</v>
      </c>
      <c r="D429" t="s">
        <v>123</v>
      </c>
      <c r="E429">
        <v>1</v>
      </c>
      <c r="F429">
        <v>1001</v>
      </c>
      <c r="G429" t="s">
        <v>134</v>
      </c>
      <c r="J429" t="s">
        <v>125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"20:21:26.367"</f>
        <v>20:21:26.367</v>
      </c>
      <c r="T429" t="str">
        <f>"20:21:26.267"</f>
        <v>20:21:26.267</v>
      </c>
      <c r="U429" t="str">
        <f t="shared" si="50"/>
        <v>AA0632</v>
      </c>
      <c r="V429">
        <v>0</v>
      </c>
      <c r="W429">
        <v>0</v>
      </c>
      <c r="X429">
        <v>2</v>
      </c>
      <c r="Y429">
        <v>0</v>
      </c>
      <c r="AA429">
        <v>0</v>
      </c>
      <c r="AB429">
        <v>9</v>
      </c>
      <c r="AC429">
        <v>3</v>
      </c>
      <c r="AD429">
        <v>0</v>
      </c>
      <c r="AE429">
        <v>10</v>
      </c>
      <c r="AF429" t="s">
        <v>126</v>
      </c>
      <c r="AG429">
        <v>0</v>
      </c>
      <c r="AH429">
        <v>0</v>
      </c>
      <c r="AI429">
        <v>2</v>
      </c>
      <c r="AJ429">
        <v>0</v>
      </c>
      <c r="AK429" t="s">
        <v>344</v>
      </c>
      <c r="AL429">
        <v>31.953735000000002</v>
      </c>
      <c r="AM429" t="s">
        <v>345</v>
      </c>
      <c r="AN429">
        <v>-101.114194</v>
      </c>
      <c r="AQ429" t="s">
        <v>129</v>
      </c>
      <c r="AR429">
        <v>81</v>
      </c>
      <c r="AS429">
        <v>-43</v>
      </c>
      <c r="AT429">
        <v>-192</v>
      </c>
      <c r="BB429" t="str">
        <f t="shared" si="51"/>
        <v>1200</v>
      </c>
      <c r="BC429">
        <v>1</v>
      </c>
      <c r="BD429" t="str">
        <f t="shared" si="52"/>
        <v xml:space="preserve">N745MB  </v>
      </c>
      <c r="BE429">
        <v>1</v>
      </c>
      <c r="BG429">
        <v>0</v>
      </c>
      <c r="BH429">
        <v>0</v>
      </c>
      <c r="BI429">
        <v>0</v>
      </c>
      <c r="BL429" t="s">
        <v>130</v>
      </c>
      <c r="BM429">
        <v>1</v>
      </c>
      <c r="BN429">
        <v>0</v>
      </c>
      <c r="BO429">
        <v>0</v>
      </c>
      <c r="BP429">
        <v>0</v>
      </c>
      <c r="BT429">
        <v>0</v>
      </c>
      <c r="BU429">
        <v>0</v>
      </c>
      <c r="CE429" t="str">
        <f>"20:21:26.375"</f>
        <v>20:21:26.375</v>
      </c>
      <c r="CF429">
        <v>374669655</v>
      </c>
      <c r="CS429">
        <v>0</v>
      </c>
      <c r="CT429">
        <v>2</v>
      </c>
      <c r="CU429">
        <v>0</v>
      </c>
      <c r="CV429">
        <v>2</v>
      </c>
      <c r="CW429">
        <v>0</v>
      </c>
      <c r="CX429">
        <v>3</v>
      </c>
      <c r="CY429">
        <v>7</v>
      </c>
      <c r="CZ429" t="s">
        <v>131</v>
      </c>
      <c r="DA429">
        <v>116</v>
      </c>
      <c r="DB429">
        <v>3</v>
      </c>
      <c r="DC429" t="s">
        <v>132</v>
      </c>
      <c r="DD429" t="s">
        <v>133</v>
      </c>
      <c r="DG429">
        <v>8265075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1</v>
      </c>
      <c r="DQ429">
        <v>0</v>
      </c>
      <c r="DR429">
        <v>0</v>
      </c>
      <c r="DS429">
        <v>0</v>
      </c>
    </row>
    <row r="430" spans="1:123" x14ac:dyDescent="0.25">
      <c r="A430" t="str">
        <f>"11/29/2023 20:21:26.773"</f>
        <v>11/29/2023 20:21:26.773</v>
      </c>
      <c r="C430" t="str">
        <f t="shared" si="54"/>
        <v>FFDF53C0</v>
      </c>
      <c r="D430" t="s">
        <v>135</v>
      </c>
      <c r="E430">
        <v>31</v>
      </c>
      <c r="H430">
        <v>285</v>
      </c>
      <c r="I430" t="s">
        <v>136</v>
      </c>
      <c r="J430" t="s">
        <v>137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"20:21:26.367"</f>
        <v>20:21:26.367</v>
      </c>
      <c r="T430" t="str">
        <f>"20:21:26.267"</f>
        <v>20:21:26.267</v>
      </c>
      <c r="U430" t="str">
        <f t="shared" si="50"/>
        <v>AA0632</v>
      </c>
      <c r="V430">
        <v>0</v>
      </c>
      <c r="W430">
        <v>0</v>
      </c>
      <c r="X430">
        <v>2</v>
      </c>
      <c r="Y430">
        <v>0</v>
      </c>
      <c r="AA430">
        <v>0</v>
      </c>
      <c r="AB430">
        <v>9</v>
      </c>
      <c r="AC430">
        <v>3</v>
      </c>
      <c r="AD430">
        <v>0</v>
      </c>
      <c r="AE430">
        <v>10</v>
      </c>
      <c r="AF430" t="s">
        <v>126</v>
      </c>
      <c r="AG430">
        <v>0</v>
      </c>
      <c r="AH430">
        <v>0</v>
      </c>
      <c r="AI430">
        <v>2</v>
      </c>
      <c r="AJ430">
        <v>0</v>
      </c>
      <c r="AK430" t="s">
        <v>344</v>
      </c>
      <c r="AL430">
        <v>31.953735000000002</v>
      </c>
      <c r="AM430" t="s">
        <v>345</v>
      </c>
      <c r="AN430">
        <v>-101.114194</v>
      </c>
      <c r="AQ430" t="s">
        <v>129</v>
      </c>
      <c r="AR430">
        <v>81</v>
      </c>
      <c r="AS430">
        <v>-43</v>
      </c>
      <c r="AT430">
        <v>-192</v>
      </c>
      <c r="BB430" t="str">
        <f t="shared" si="51"/>
        <v>1200</v>
      </c>
      <c r="BC430">
        <v>1</v>
      </c>
      <c r="BD430" t="str">
        <f t="shared" si="52"/>
        <v xml:space="preserve">N745MB  </v>
      </c>
      <c r="BE430">
        <v>1</v>
      </c>
      <c r="BG430">
        <v>0</v>
      </c>
      <c r="BH430">
        <v>0</v>
      </c>
      <c r="BI430">
        <v>0</v>
      </c>
      <c r="BL430" t="s">
        <v>130</v>
      </c>
      <c r="BM430">
        <v>1</v>
      </c>
      <c r="BN430">
        <v>0</v>
      </c>
      <c r="BO430">
        <v>0</v>
      </c>
      <c r="BP430">
        <v>0</v>
      </c>
      <c r="BT430">
        <v>0</v>
      </c>
      <c r="BU430">
        <v>0</v>
      </c>
      <c r="CE430" t="str">
        <f>"20:21:26.375"</f>
        <v>20:21:26.375</v>
      </c>
      <c r="CF430">
        <v>374669655</v>
      </c>
      <c r="CS430">
        <v>0</v>
      </c>
      <c r="CT430">
        <v>2</v>
      </c>
      <c r="CU430">
        <v>0</v>
      </c>
      <c r="CV430">
        <v>2</v>
      </c>
      <c r="CW430">
        <v>0</v>
      </c>
      <c r="CX430">
        <v>3</v>
      </c>
      <c r="CY430">
        <v>7</v>
      </c>
      <c r="CZ430" t="s">
        <v>131</v>
      </c>
      <c r="DA430">
        <v>116</v>
      </c>
      <c r="DB430">
        <v>3</v>
      </c>
      <c r="DC430" t="s">
        <v>132</v>
      </c>
      <c r="DD430" t="s">
        <v>133</v>
      </c>
      <c r="DG430">
        <v>8265075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1</v>
      </c>
      <c r="DQ430">
        <v>0</v>
      </c>
      <c r="DR430">
        <v>0</v>
      </c>
      <c r="DS430">
        <v>0</v>
      </c>
    </row>
    <row r="431" spans="1:123" x14ac:dyDescent="0.25">
      <c r="A431" t="str">
        <f>"11/29/2023 20:21:26.773"</f>
        <v>11/29/2023 20:21:26.773</v>
      </c>
      <c r="C431" t="str">
        <f t="shared" si="54"/>
        <v>FFDF53C0</v>
      </c>
      <c r="D431" t="s">
        <v>138</v>
      </c>
      <c r="E431">
        <v>3</v>
      </c>
      <c r="H431">
        <v>160</v>
      </c>
      <c r="I431" t="s">
        <v>124</v>
      </c>
      <c r="J431" t="s">
        <v>139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"20:21:26.367"</f>
        <v>20:21:26.367</v>
      </c>
      <c r="T431" t="str">
        <f>"20:21:26.267"</f>
        <v>20:21:26.267</v>
      </c>
      <c r="U431" t="str">
        <f t="shared" si="50"/>
        <v>AA0632</v>
      </c>
      <c r="V431">
        <v>0</v>
      </c>
      <c r="W431">
        <v>0</v>
      </c>
      <c r="X431">
        <v>2</v>
      </c>
      <c r="Y431">
        <v>0</v>
      </c>
      <c r="AA431">
        <v>0</v>
      </c>
      <c r="AB431">
        <v>9</v>
      </c>
      <c r="AC431">
        <v>3</v>
      </c>
      <c r="AD431">
        <v>0</v>
      </c>
      <c r="AE431">
        <v>10</v>
      </c>
      <c r="AF431" t="s">
        <v>126</v>
      </c>
      <c r="AG431">
        <v>0</v>
      </c>
      <c r="AH431">
        <v>0</v>
      </c>
      <c r="AI431">
        <v>2</v>
      </c>
      <c r="AJ431">
        <v>0</v>
      </c>
      <c r="AK431" t="s">
        <v>344</v>
      </c>
      <c r="AL431">
        <v>31.953735000000002</v>
      </c>
      <c r="AM431" t="s">
        <v>345</v>
      </c>
      <c r="AN431">
        <v>-101.114194</v>
      </c>
      <c r="AQ431" t="s">
        <v>129</v>
      </c>
      <c r="AR431">
        <v>81</v>
      </c>
      <c r="AS431">
        <v>-43</v>
      </c>
      <c r="AT431">
        <v>-192</v>
      </c>
      <c r="BB431" t="str">
        <f t="shared" si="51"/>
        <v>1200</v>
      </c>
      <c r="BC431">
        <v>1</v>
      </c>
      <c r="BD431" t="str">
        <f t="shared" si="52"/>
        <v xml:space="preserve">N745MB  </v>
      </c>
      <c r="BE431">
        <v>1</v>
      </c>
      <c r="BG431">
        <v>0</v>
      </c>
      <c r="BH431">
        <v>0</v>
      </c>
      <c r="BI431">
        <v>0</v>
      </c>
      <c r="BL431" t="s">
        <v>130</v>
      </c>
      <c r="BM431">
        <v>1</v>
      </c>
      <c r="BN431">
        <v>0</v>
      </c>
      <c r="BO431">
        <v>0</v>
      </c>
      <c r="BP431">
        <v>0</v>
      </c>
      <c r="BT431">
        <v>0</v>
      </c>
      <c r="BU431">
        <v>0</v>
      </c>
      <c r="CE431" t="str">
        <f>"20:21:26.375"</f>
        <v>20:21:26.375</v>
      </c>
      <c r="CF431">
        <v>374669655</v>
      </c>
      <c r="CS431">
        <v>0</v>
      </c>
      <c r="CT431">
        <v>2</v>
      </c>
      <c r="CU431">
        <v>0</v>
      </c>
      <c r="CV431">
        <v>2</v>
      </c>
      <c r="CW431">
        <v>0</v>
      </c>
      <c r="CX431">
        <v>3</v>
      </c>
      <c r="CY431">
        <v>7</v>
      </c>
      <c r="CZ431" t="s">
        <v>131</v>
      </c>
      <c r="DA431">
        <v>116</v>
      </c>
      <c r="DB431">
        <v>3</v>
      </c>
      <c r="DC431" t="s">
        <v>132</v>
      </c>
      <c r="DD431" t="s">
        <v>133</v>
      </c>
      <c r="DG431">
        <v>8265075</v>
      </c>
      <c r="DI431">
        <v>0</v>
      </c>
      <c r="DJ431">
        <v>0</v>
      </c>
      <c r="DK431">
        <v>1</v>
      </c>
      <c r="DL431">
        <v>0</v>
      </c>
      <c r="DM431">
        <v>0</v>
      </c>
      <c r="DN431">
        <v>0</v>
      </c>
      <c r="DO431">
        <v>0</v>
      </c>
      <c r="DP431">
        <v>1</v>
      </c>
      <c r="DQ431">
        <v>0</v>
      </c>
      <c r="DR431">
        <v>0</v>
      </c>
      <c r="DS431">
        <v>0</v>
      </c>
    </row>
    <row r="432" spans="1:123" x14ac:dyDescent="0.25">
      <c r="A432" t="str">
        <f>"11/29/2023 20:21:27.758"</f>
        <v>11/29/2023 20:21:27.758</v>
      </c>
      <c r="C432" t="str">
        <f t="shared" si="54"/>
        <v>FFDF53C0</v>
      </c>
      <c r="D432" t="s">
        <v>123</v>
      </c>
      <c r="E432">
        <v>1</v>
      </c>
      <c r="F432">
        <v>1001</v>
      </c>
      <c r="G432" t="s">
        <v>134</v>
      </c>
      <c r="J432" t="s">
        <v>125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"20:21:27.406"</f>
        <v>20:21:27.406</v>
      </c>
      <c r="T432" t="str">
        <f>"20:21:27.206"</f>
        <v>20:21:27.206</v>
      </c>
      <c r="U432" t="str">
        <f t="shared" si="50"/>
        <v>AA0632</v>
      </c>
      <c r="V432">
        <v>0</v>
      </c>
      <c r="W432">
        <v>0</v>
      </c>
      <c r="X432">
        <v>2</v>
      </c>
      <c r="Y432">
        <v>0</v>
      </c>
      <c r="AA432">
        <v>0</v>
      </c>
      <c r="AB432">
        <v>9</v>
      </c>
      <c r="AC432">
        <v>3</v>
      </c>
      <c r="AD432">
        <v>0</v>
      </c>
      <c r="AE432">
        <v>10</v>
      </c>
      <c r="AF432" t="s">
        <v>126</v>
      </c>
      <c r="AG432">
        <v>0</v>
      </c>
      <c r="AH432">
        <v>0</v>
      </c>
      <c r="AI432">
        <v>2</v>
      </c>
      <c r="AJ432">
        <v>0</v>
      </c>
      <c r="AK432" t="s">
        <v>346</v>
      </c>
      <c r="AL432">
        <v>31.953541999999999</v>
      </c>
      <c r="AM432" t="s">
        <v>347</v>
      </c>
      <c r="AN432">
        <v>-101.113658</v>
      </c>
      <c r="AQ432" t="s">
        <v>129</v>
      </c>
      <c r="AR432">
        <v>81</v>
      </c>
      <c r="AS432">
        <v>-43</v>
      </c>
      <c r="AT432">
        <v>-128</v>
      </c>
      <c r="BB432" t="str">
        <f t="shared" si="51"/>
        <v>1200</v>
      </c>
      <c r="BC432">
        <v>1</v>
      </c>
      <c r="BD432" t="str">
        <f t="shared" si="52"/>
        <v xml:space="preserve">N745MB  </v>
      </c>
      <c r="BE432">
        <v>1</v>
      </c>
      <c r="BG432">
        <v>0</v>
      </c>
      <c r="BH432">
        <v>0</v>
      </c>
      <c r="BI432">
        <v>0</v>
      </c>
      <c r="BL432" t="s">
        <v>130</v>
      </c>
      <c r="BM432">
        <v>1</v>
      </c>
      <c r="BN432">
        <v>0</v>
      </c>
      <c r="BO432">
        <v>0</v>
      </c>
      <c r="BP432">
        <v>0</v>
      </c>
      <c r="BT432">
        <v>0</v>
      </c>
      <c r="BU432">
        <v>0</v>
      </c>
      <c r="CE432" t="str">
        <f>"20:21:27.411"</f>
        <v>20:21:27.411</v>
      </c>
      <c r="CF432">
        <v>410601450</v>
      </c>
      <c r="CS432">
        <v>0</v>
      </c>
      <c r="CT432">
        <v>2</v>
      </c>
      <c r="CU432">
        <v>0</v>
      </c>
      <c r="CV432">
        <v>2</v>
      </c>
      <c r="CW432">
        <v>0</v>
      </c>
      <c r="CX432">
        <v>2</v>
      </c>
      <c r="CY432">
        <v>7</v>
      </c>
      <c r="CZ432" t="s">
        <v>131</v>
      </c>
      <c r="DA432">
        <v>116</v>
      </c>
      <c r="DB432">
        <v>3</v>
      </c>
      <c r="DC432" t="s">
        <v>132</v>
      </c>
      <c r="DD432" t="s">
        <v>133</v>
      </c>
      <c r="DG432">
        <v>8265663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1</v>
      </c>
      <c r="DQ432">
        <v>0</v>
      </c>
      <c r="DR432">
        <v>0</v>
      </c>
      <c r="DS432">
        <v>0</v>
      </c>
    </row>
    <row r="433" spans="1:123" x14ac:dyDescent="0.25">
      <c r="A433" t="str">
        <f>"11/29/2023 20:21:27.820"</f>
        <v>11/29/2023 20:21:27.820</v>
      </c>
      <c r="C433" t="str">
        <f t="shared" si="54"/>
        <v>FFDF53C0</v>
      </c>
      <c r="D433" t="s">
        <v>135</v>
      </c>
      <c r="E433">
        <v>31</v>
      </c>
      <c r="H433">
        <v>285</v>
      </c>
      <c r="I433" t="s">
        <v>136</v>
      </c>
      <c r="J433" t="s">
        <v>137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"20:21:27.406"</f>
        <v>20:21:27.406</v>
      </c>
      <c r="T433" t="str">
        <f>"20:21:27.206"</f>
        <v>20:21:27.206</v>
      </c>
      <c r="U433" t="str">
        <f t="shared" si="50"/>
        <v>AA0632</v>
      </c>
      <c r="V433">
        <v>0</v>
      </c>
      <c r="W433">
        <v>0</v>
      </c>
      <c r="X433">
        <v>2</v>
      </c>
      <c r="Y433">
        <v>0</v>
      </c>
      <c r="AA433">
        <v>0</v>
      </c>
      <c r="AB433">
        <v>9</v>
      </c>
      <c r="AC433">
        <v>3</v>
      </c>
      <c r="AD433">
        <v>0</v>
      </c>
      <c r="AE433">
        <v>10</v>
      </c>
      <c r="AF433" t="s">
        <v>126</v>
      </c>
      <c r="AG433">
        <v>0</v>
      </c>
      <c r="AH433">
        <v>0</v>
      </c>
      <c r="AI433">
        <v>2</v>
      </c>
      <c r="AJ433">
        <v>0</v>
      </c>
      <c r="AK433" t="s">
        <v>346</v>
      </c>
      <c r="AL433">
        <v>31.953541999999999</v>
      </c>
      <c r="AM433" t="s">
        <v>347</v>
      </c>
      <c r="AN433">
        <v>-101.113658</v>
      </c>
      <c r="AQ433" t="s">
        <v>129</v>
      </c>
      <c r="AR433">
        <v>81</v>
      </c>
      <c r="AS433">
        <v>-43</v>
      </c>
      <c r="AT433">
        <v>-128</v>
      </c>
      <c r="BB433" t="str">
        <f t="shared" si="51"/>
        <v>1200</v>
      </c>
      <c r="BC433">
        <v>1</v>
      </c>
      <c r="BD433" t="str">
        <f t="shared" si="52"/>
        <v xml:space="preserve">N745MB  </v>
      </c>
      <c r="BE433">
        <v>1</v>
      </c>
      <c r="BG433">
        <v>0</v>
      </c>
      <c r="BH433">
        <v>0</v>
      </c>
      <c r="BI433">
        <v>0</v>
      </c>
      <c r="BL433" t="s">
        <v>130</v>
      </c>
      <c r="BM433">
        <v>1</v>
      </c>
      <c r="BN433">
        <v>0</v>
      </c>
      <c r="BO433">
        <v>0</v>
      </c>
      <c r="BP433">
        <v>0</v>
      </c>
      <c r="BT433">
        <v>0</v>
      </c>
      <c r="BU433">
        <v>0</v>
      </c>
      <c r="CE433" t="str">
        <f>"20:21:27.411"</f>
        <v>20:21:27.411</v>
      </c>
      <c r="CF433">
        <v>410601450</v>
      </c>
      <c r="CS433">
        <v>0</v>
      </c>
      <c r="CT433">
        <v>2</v>
      </c>
      <c r="CU433">
        <v>0</v>
      </c>
      <c r="CV433">
        <v>2</v>
      </c>
      <c r="CW433">
        <v>0</v>
      </c>
      <c r="CX433">
        <v>2</v>
      </c>
      <c r="CY433">
        <v>7</v>
      </c>
      <c r="CZ433" t="s">
        <v>131</v>
      </c>
      <c r="DA433">
        <v>116</v>
      </c>
      <c r="DB433">
        <v>3</v>
      </c>
      <c r="DC433" t="s">
        <v>132</v>
      </c>
      <c r="DD433" t="s">
        <v>133</v>
      </c>
      <c r="DG433">
        <v>8265663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1</v>
      </c>
      <c r="DQ433">
        <v>0</v>
      </c>
      <c r="DR433">
        <v>0</v>
      </c>
      <c r="DS433">
        <v>0</v>
      </c>
    </row>
    <row r="434" spans="1:123" x14ac:dyDescent="0.25">
      <c r="A434" t="str">
        <f>"11/29/2023 20:21:27.883"</f>
        <v>11/29/2023 20:21:27.883</v>
      </c>
      <c r="C434" t="str">
        <f t="shared" si="54"/>
        <v>FFDF53C0</v>
      </c>
      <c r="D434" t="s">
        <v>138</v>
      </c>
      <c r="E434">
        <v>3</v>
      </c>
      <c r="H434">
        <v>160</v>
      </c>
      <c r="I434" t="s">
        <v>124</v>
      </c>
      <c r="J434" t="s">
        <v>139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"20:21:27.406"</f>
        <v>20:21:27.406</v>
      </c>
      <c r="T434" t="str">
        <f>"20:21:27.206"</f>
        <v>20:21:27.206</v>
      </c>
      <c r="U434" t="str">
        <f t="shared" si="50"/>
        <v>AA0632</v>
      </c>
      <c r="V434">
        <v>0</v>
      </c>
      <c r="W434">
        <v>0</v>
      </c>
      <c r="X434">
        <v>2</v>
      </c>
      <c r="Y434">
        <v>0</v>
      </c>
      <c r="AA434">
        <v>0</v>
      </c>
      <c r="AB434">
        <v>9</v>
      </c>
      <c r="AC434">
        <v>3</v>
      </c>
      <c r="AD434">
        <v>0</v>
      </c>
      <c r="AE434">
        <v>10</v>
      </c>
      <c r="AF434" t="s">
        <v>126</v>
      </c>
      <c r="AG434">
        <v>0</v>
      </c>
      <c r="AH434">
        <v>0</v>
      </c>
      <c r="AI434">
        <v>2</v>
      </c>
      <c r="AJ434">
        <v>0</v>
      </c>
      <c r="AK434" t="s">
        <v>346</v>
      </c>
      <c r="AL434">
        <v>31.953541999999999</v>
      </c>
      <c r="AM434" t="s">
        <v>347</v>
      </c>
      <c r="AN434">
        <v>-101.113658</v>
      </c>
      <c r="AQ434" t="s">
        <v>129</v>
      </c>
      <c r="AR434">
        <v>81</v>
      </c>
      <c r="AS434">
        <v>-43</v>
      </c>
      <c r="AT434">
        <v>-128</v>
      </c>
      <c r="BB434" t="str">
        <f t="shared" si="51"/>
        <v>1200</v>
      </c>
      <c r="BC434">
        <v>1</v>
      </c>
      <c r="BD434" t="str">
        <f t="shared" si="52"/>
        <v xml:space="preserve">N745MB  </v>
      </c>
      <c r="BE434">
        <v>1</v>
      </c>
      <c r="BG434">
        <v>0</v>
      </c>
      <c r="BH434">
        <v>0</v>
      </c>
      <c r="BI434">
        <v>0</v>
      </c>
      <c r="BL434" t="s">
        <v>130</v>
      </c>
      <c r="BM434">
        <v>1</v>
      </c>
      <c r="BN434">
        <v>0</v>
      </c>
      <c r="BO434">
        <v>0</v>
      </c>
      <c r="BP434">
        <v>0</v>
      </c>
      <c r="BT434">
        <v>0</v>
      </c>
      <c r="BU434">
        <v>0</v>
      </c>
      <c r="CE434" t="str">
        <f>"20:21:27.411"</f>
        <v>20:21:27.411</v>
      </c>
      <c r="CF434">
        <v>410601450</v>
      </c>
      <c r="CS434">
        <v>0</v>
      </c>
      <c r="CT434">
        <v>2</v>
      </c>
      <c r="CU434">
        <v>0</v>
      </c>
      <c r="CV434">
        <v>2</v>
      </c>
      <c r="CW434">
        <v>0</v>
      </c>
      <c r="CX434">
        <v>2</v>
      </c>
      <c r="CY434">
        <v>7</v>
      </c>
      <c r="CZ434" t="s">
        <v>131</v>
      </c>
      <c r="DA434">
        <v>116</v>
      </c>
      <c r="DB434">
        <v>3</v>
      </c>
      <c r="DC434" t="s">
        <v>132</v>
      </c>
      <c r="DD434" t="s">
        <v>133</v>
      </c>
      <c r="DG434">
        <v>8265663</v>
      </c>
      <c r="DI434">
        <v>0</v>
      </c>
      <c r="DJ434">
        <v>0</v>
      </c>
      <c r="DK434">
        <v>1</v>
      </c>
      <c r="DL434">
        <v>0</v>
      </c>
      <c r="DM434">
        <v>0</v>
      </c>
      <c r="DN434">
        <v>0</v>
      </c>
      <c r="DO434">
        <v>0</v>
      </c>
      <c r="DP434">
        <v>1</v>
      </c>
      <c r="DQ434">
        <v>0</v>
      </c>
      <c r="DR434">
        <v>0</v>
      </c>
      <c r="DS434">
        <v>0</v>
      </c>
    </row>
    <row r="435" spans="1:123" x14ac:dyDescent="0.25">
      <c r="A435" t="str">
        <f>"11/29/2023 20:21:27.883"</f>
        <v>11/29/2023 20:21:27.883</v>
      </c>
      <c r="C435" t="str">
        <f t="shared" si="54"/>
        <v>FFDF53C0</v>
      </c>
      <c r="D435" t="s">
        <v>123</v>
      </c>
      <c r="E435">
        <v>14</v>
      </c>
      <c r="F435">
        <v>1014</v>
      </c>
      <c r="G435" t="s">
        <v>124</v>
      </c>
      <c r="J435" t="s">
        <v>125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"20:21:27.406"</f>
        <v>20:21:27.406</v>
      </c>
      <c r="T435" t="str">
        <f>"20:21:27.206"</f>
        <v>20:21:27.206</v>
      </c>
      <c r="U435" t="str">
        <f t="shared" si="50"/>
        <v>AA0632</v>
      </c>
      <c r="V435">
        <v>0</v>
      </c>
      <c r="W435">
        <v>0</v>
      </c>
      <c r="X435">
        <v>2</v>
      </c>
      <c r="Y435">
        <v>0</v>
      </c>
      <c r="AA435">
        <v>0</v>
      </c>
      <c r="AB435">
        <v>9</v>
      </c>
      <c r="AC435">
        <v>3</v>
      </c>
      <c r="AD435">
        <v>0</v>
      </c>
      <c r="AE435">
        <v>10</v>
      </c>
      <c r="AF435" t="s">
        <v>126</v>
      </c>
      <c r="AG435">
        <v>0</v>
      </c>
      <c r="AH435">
        <v>0</v>
      </c>
      <c r="AI435">
        <v>2</v>
      </c>
      <c r="AJ435">
        <v>0</v>
      </c>
      <c r="AK435" t="s">
        <v>346</v>
      </c>
      <c r="AL435">
        <v>31.953541999999999</v>
      </c>
      <c r="AM435" t="s">
        <v>347</v>
      </c>
      <c r="AN435">
        <v>-101.113658</v>
      </c>
      <c r="AQ435" t="s">
        <v>129</v>
      </c>
      <c r="AR435">
        <v>81</v>
      </c>
      <c r="AS435">
        <v>-43</v>
      </c>
      <c r="AT435">
        <v>-128</v>
      </c>
      <c r="BB435" t="str">
        <f t="shared" si="51"/>
        <v>1200</v>
      </c>
      <c r="BC435">
        <v>1</v>
      </c>
      <c r="BD435" t="str">
        <f t="shared" si="52"/>
        <v xml:space="preserve">N745MB  </v>
      </c>
      <c r="BE435">
        <v>1</v>
      </c>
      <c r="BG435">
        <v>0</v>
      </c>
      <c r="BH435">
        <v>0</v>
      </c>
      <c r="BI435">
        <v>0</v>
      </c>
      <c r="BL435" t="s">
        <v>130</v>
      </c>
      <c r="BM435">
        <v>1</v>
      </c>
      <c r="BN435">
        <v>0</v>
      </c>
      <c r="BO435">
        <v>0</v>
      </c>
      <c r="BP435">
        <v>0</v>
      </c>
      <c r="BT435">
        <v>0</v>
      </c>
      <c r="BU435">
        <v>0</v>
      </c>
      <c r="CE435" t="str">
        <f>"20:21:27.411"</f>
        <v>20:21:27.411</v>
      </c>
      <c r="CF435">
        <v>410601450</v>
      </c>
      <c r="CS435">
        <v>0</v>
      </c>
      <c r="CT435">
        <v>2</v>
      </c>
      <c r="CU435">
        <v>0</v>
      </c>
      <c r="CV435">
        <v>2</v>
      </c>
      <c r="CW435">
        <v>0</v>
      </c>
      <c r="CX435">
        <v>2</v>
      </c>
      <c r="CY435">
        <v>7</v>
      </c>
      <c r="CZ435" t="s">
        <v>131</v>
      </c>
      <c r="DA435">
        <v>116</v>
      </c>
      <c r="DB435">
        <v>3</v>
      </c>
      <c r="DC435" t="s">
        <v>132</v>
      </c>
      <c r="DD435" t="s">
        <v>133</v>
      </c>
      <c r="DG435">
        <v>8265663</v>
      </c>
      <c r="DI435">
        <v>0</v>
      </c>
      <c r="DJ435">
        <v>0</v>
      </c>
      <c r="DK435">
        <v>1</v>
      </c>
      <c r="DL435">
        <v>0</v>
      </c>
      <c r="DM435">
        <v>0</v>
      </c>
      <c r="DN435">
        <v>0</v>
      </c>
      <c r="DO435">
        <v>0</v>
      </c>
      <c r="DP435">
        <v>1</v>
      </c>
      <c r="DQ435">
        <v>0</v>
      </c>
      <c r="DR435">
        <v>0</v>
      </c>
      <c r="DS435">
        <v>0</v>
      </c>
    </row>
    <row r="436" spans="1:123" x14ac:dyDescent="0.25">
      <c r="A436" t="str">
        <f>"11/29/2023 20:21:28.742"</f>
        <v>11/29/2023 20:21:28.742</v>
      </c>
      <c r="C436" t="str">
        <f t="shared" si="54"/>
        <v>FFDF53C0</v>
      </c>
      <c r="D436" t="s">
        <v>135</v>
      </c>
      <c r="E436">
        <v>31</v>
      </c>
      <c r="H436">
        <v>285</v>
      </c>
      <c r="I436" t="s">
        <v>136</v>
      </c>
      <c r="J436" t="s">
        <v>137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"20:21:28.430"</f>
        <v>20:21:28.430</v>
      </c>
      <c r="T436" t="str">
        <f>"20:21:28.230"</f>
        <v>20:21:28.230</v>
      </c>
      <c r="U436" t="str">
        <f t="shared" si="50"/>
        <v>AA0632</v>
      </c>
      <c r="V436">
        <v>0</v>
      </c>
      <c r="W436">
        <v>0</v>
      </c>
      <c r="X436">
        <v>2</v>
      </c>
      <c r="Y436">
        <v>0</v>
      </c>
      <c r="AA436">
        <v>0</v>
      </c>
      <c r="AB436">
        <v>9</v>
      </c>
      <c r="AC436">
        <v>3</v>
      </c>
      <c r="AD436">
        <v>0</v>
      </c>
      <c r="AE436">
        <v>10</v>
      </c>
      <c r="AF436" t="s">
        <v>126</v>
      </c>
      <c r="AG436">
        <v>0</v>
      </c>
      <c r="AH436">
        <v>0</v>
      </c>
      <c r="AI436">
        <v>2</v>
      </c>
      <c r="AJ436">
        <v>0</v>
      </c>
      <c r="AK436" t="s">
        <v>348</v>
      </c>
      <c r="AL436">
        <v>31.953327999999999</v>
      </c>
      <c r="AM436" t="s">
        <v>349</v>
      </c>
      <c r="AN436">
        <v>-101.113229</v>
      </c>
      <c r="AQ436" t="s">
        <v>129</v>
      </c>
      <c r="AR436">
        <v>82</v>
      </c>
      <c r="AS436">
        <v>-42</v>
      </c>
      <c r="AT436">
        <v>-64</v>
      </c>
      <c r="BB436" t="str">
        <f t="shared" si="51"/>
        <v>1200</v>
      </c>
      <c r="BC436">
        <v>1</v>
      </c>
      <c r="BD436" t="str">
        <f t="shared" si="52"/>
        <v xml:space="preserve">N745MB  </v>
      </c>
      <c r="BE436">
        <v>1</v>
      </c>
      <c r="BG436">
        <v>0</v>
      </c>
      <c r="BH436">
        <v>0</v>
      </c>
      <c r="BI436">
        <v>0</v>
      </c>
      <c r="BL436" t="s">
        <v>130</v>
      </c>
      <c r="BM436">
        <v>1</v>
      </c>
      <c r="BN436">
        <v>0</v>
      </c>
      <c r="BO436">
        <v>0</v>
      </c>
      <c r="BP436">
        <v>0</v>
      </c>
      <c r="BT436">
        <v>0</v>
      </c>
      <c r="BU436">
        <v>0</v>
      </c>
      <c r="CE436" t="str">
        <f>"20:21:28.431"</f>
        <v>20:21:28.431</v>
      </c>
      <c r="CF436">
        <v>430531970</v>
      </c>
      <c r="CS436">
        <v>0</v>
      </c>
      <c r="CT436">
        <v>2</v>
      </c>
      <c r="CU436">
        <v>0</v>
      </c>
      <c r="CV436">
        <v>2</v>
      </c>
      <c r="CW436">
        <v>0</v>
      </c>
      <c r="CX436">
        <v>3</v>
      </c>
      <c r="CY436">
        <v>7</v>
      </c>
      <c r="CZ436" t="s">
        <v>131</v>
      </c>
      <c r="DA436">
        <v>116</v>
      </c>
      <c r="DB436">
        <v>3</v>
      </c>
      <c r="DC436" t="s">
        <v>132</v>
      </c>
      <c r="DD436" t="s">
        <v>133</v>
      </c>
      <c r="DG436">
        <v>8266196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1</v>
      </c>
      <c r="DQ436">
        <v>0</v>
      </c>
      <c r="DR436">
        <v>0</v>
      </c>
      <c r="DS436">
        <v>0</v>
      </c>
    </row>
    <row r="437" spans="1:123" x14ac:dyDescent="0.25">
      <c r="A437" t="str">
        <f>"11/29/2023 20:21:28.742"</f>
        <v>11/29/2023 20:21:28.742</v>
      </c>
      <c r="C437" t="str">
        <f t="shared" si="54"/>
        <v>FFDF53C0</v>
      </c>
      <c r="D437" t="s">
        <v>138</v>
      </c>
      <c r="E437">
        <v>3</v>
      </c>
      <c r="H437">
        <v>160</v>
      </c>
      <c r="I437" t="s">
        <v>124</v>
      </c>
      <c r="J437" t="s">
        <v>139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"20:21:28.430"</f>
        <v>20:21:28.430</v>
      </c>
      <c r="T437" t="str">
        <f>"20:21:28.230"</f>
        <v>20:21:28.230</v>
      </c>
      <c r="U437" t="str">
        <f t="shared" si="50"/>
        <v>AA0632</v>
      </c>
      <c r="V437">
        <v>0</v>
      </c>
      <c r="W437">
        <v>0</v>
      </c>
      <c r="X437">
        <v>2</v>
      </c>
      <c r="Y437">
        <v>0</v>
      </c>
      <c r="AA437">
        <v>0</v>
      </c>
      <c r="AB437">
        <v>9</v>
      </c>
      <c r="AC437">
        <v>3</v>
      </c>
      <c r="AD437">
        <v>0</v>
      </c>
      <c r="AE437">
        <v>10</v>
      </c>
      <c r="AF437" t="s">
        <v>126</v>
      </c>
      <c r="AG437">
        <v>0</v>
      </c>
      <c r="AH437">
        <v>0</v>
      </c>
      <c r="AI437">
        <v>2</v>
      </c>
      <c r="AJ437">
        <v>0</v>
      </c>
      <c r="AK437" t="s">
        <v>348</v>
      </c>
      <c r="AL437">
        <v>31.953327999999999</v>
      </c>
      <c r="AM437" t="s">
        <v>349</v>
      </c>
      <c r="AN437">
        <v>-101.113229</v>
      </c>
      <c r="AQ437" t="s">
        <v>129</v>
      </c>
      <c r="AR437">
        <v>82</v>
      </c>
      <c r="AS437">
        <v>-42</v>
      </c>
      <c r="AT437">
        <v>-64</v>
      </c>
      <c r="BB437" t="str">
        <f t="shared" si="51"/>
        <v>1200</v>
      </c>
      <c r="BC437">
        <v>1</v>
      </c>
      <c r="BD437" t="str">
        <f t="shared" si="52"/>
        <v xml:space="preserve">N745MB  </v>
      </c>
      <c r="BE437">
        <v>1</v>
      </c>
      <c r="BG437">
        <v>0</v>
      </c>
      <c r="BH437">
        <v>0</v>
      </c>
      <c r="BI437">
        <v>0</v>
      </c>
      <c r="BL437" t="s">
        <v>130</v>
      </c>
      <c r="BM437">
        <v>1</v>
      </c>
      <c r="BN437">
        <v>0</v>
      </c>
      <c r="BO437">
        <v>0</v>
      </c>
      <c r="BP437">
        <v>0</v>
      </c>
      <c r="BT437">
        <v>0</v>
      </c>
      <c r="BU437">
        <v>0</v>
      </c>
      <c r="CE437" t="str">
        <f>"20:21:28.431"</f>
        <v>20:21:28.431</v>
      </c>
      <c r="CF437">
        <v>430531970</v>
      </c>
      <c r="CS437">
        <v>0</v>
      </c>
      <c r="CT437">
        <v>2</v>
      </c>
      <c r="CU437">
        <v>0</v>
      </c>
      <c r="CV437">
        <v>2</v>
      </c>
      <c r="CW437">
        <v>0</v>
      </c>
      <c r="CX437">
        <v>3</v>
      </c>
      <c r="CY437">
        <v>7</v>
      </c>
      <c r="CZ437" t="s">
        <v>131</v>
      </c>
      <c r="DA437">
        <v>116</v>
      </c>
      <c r="DB437">
        <v>3</v>
      </c>
      <c r="DC437" t="s">
        <v>132</v>
      </c>
      <c r="DD437" t="s">
        <v>133</v>
      </c>
      <c r="DG437">
        <v>8266196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1</v>
      </c>
      <c r="DQ437">
        <v>0</v>
      </c>
      <c r="DR437">
        <v>0</v>
      </c>
      <c r="DS437">
        <v>0</v>
      </c>
    </row>
    <row r="438" spans="1:123" x14ac:dyDescent="0.25">
      <c r="A438" t="str">
        <f>"11/29/2023 20:21:28.742"</f>
        <v>11/29/2023 20:21:28.742</v>
      </c>
      <c r="C438" t="str">
        <f t="shared" si="54"/>
        <v>FFDF53C0</v>
      </c>
      <c r="D438" t="s">
        <v>123</v>
      </c>
      <c r="E438">
        <v>1</v>
      </c>
      <c r="F438">
        <v>1001</v>
      </c>
      <c r="G438" t="s">
        <v>134</v>
      </c>
      <c r="J438" t="s">
        <v>125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"20:21:28.430"</f>
        <v>20:21:28.430</v>
      </c>
      <c r="T438" t="str">
        <f>"20:21:28.230"</f>
        <v>20:21:28.230</v>
      </c>
      <c r="U438" t="str">
        <f t="shared" si="50"/>
        <v>AA0632</v>
      </c>
      <c r="V438">
        <v>0</v>
      </c>
      <c r="W438">
        <v>0</v>
      </c>
      <c r="X438">
        <v>2</v>
      </c>
      <c r="Y438">
        <v>0</v>
      </c>
      <c r="AA438">
        <v>0</v>
      </c>
      <c r="AB438">
        <v>9</v>
      </c>
      <c r="AC438">
        <v>3</v>
      </c>
      <c r="AD438">
        <v>0</v>
      </c>
      <c r="AE438">
        <v>10</v>
      </c>
      <c r="AF438" t="s">
        <v>126</v>
      </c>
      <c r="AG438">
        <v>0</v>
      </c>
      <c r="AH438">
        <v>0</v>
      </c>
      <c r="AI438">
        <v>2</v>
      </c>
      <c r="AJ438">
        <v>0</v>
      </c>
      <c r="AK438" t="s">
        <v>348</v>
      </c>
      <c r="AL438">
        <v>31.953327999999999</v>
      </c>
      <c r="AM438" t="s">
        <v>349</v>
      </c>
      <c r="AN438">
        <v>-101.113229</v>
      </c>
      <c r="AQ438" t="s">
        <v>129</v>
      </c>
      <c r="AR438">
        <v>82</v>
      </c>
      <c r="AS438">
        <v>-42</v>
      </c>
      <c r="AT438">
        <v>-64</v>
      </c>
      <c r="BB438" t="str">
        <f t="shared" si="51"/>
        <v>1200</v>
      </c>
      <c r="BC438">
        <v>1</v>
      </c>
      <c r="BD438" t="str">
        <f t="shared" si="52"/>
        <v xml:space="preserve">N745MB  </v>
      </c>
      <c r="BE438">
        <v>1</v>
      </c>
      <c r="BG438">
        <v>0</v>
      </c>
      <c r="BH438">
        <v>0</v>
      </c>
      <c r="BI438">
        <v>0</v>
      </c>
      <c r="BL438" t="s">
        <v>130</v>
      </c>
      <c r="BM438">
        <v>1</v>
      </c>
      <c r="BN438">
        <v>0</v>
      </c>
      <c r="BO438">
        <v>0</v>
      </c>
      <c r="BP438">
        <v>0</v>
      </c>
      <c r="BT438">
        <v>0</v>
      </c>
      <c r="BU438">
        <v>0</v>
      </c>
      <c r="CE438" t="str">
        <f>"20:21:28.431"</f>
        <v>20:21:28.431</v>
      </c>
      <c r="CF438">
        <v>430531970</v>
      </c>
      <c r="CS438">
        <v>0</v>
      </c>
      <c r="CT438">
        <v>2</v>
      </c>
      <c r="CU438">
        <v>0</v>
      </c>
      <c r="CV438">
        <v>2</v>
      </c>
      <c r="CW438">
        <v>0</v>
      </c>
      <c r="CX438">
        <v>3</v>
      </c>
      <c r="CY438">
        <v>7</v>
      </c>
      <c r="CZ438" t="s">
        <v>131</v>
      </c>
      <c r="DA438">
        <v>116</v>
      </c>
      <c r="DB438">
        <v>3</v>
      </c>
      <c r="DC438" t="s">
        <v>132</v>
      </c>
      <c r="DD438" t="s">
        <v>133</v>
      </c>
      <c r="DG438">
        <v>8266196</v>
      </c>
      <c r="DI438">
        <v>0</v>
      </c>
      <c r="DJ438">
        <v>0</v>
      </c>
      <c r="DK438">
        <v>1</v>
      </c>
      <c r="DL438">
        <v>0</v>
      </c>
      <c r="DM438">
        <v>0</v>
      </c>
      <c r="DN438">
        <v>0</v>
      </c>
      <c r="DO438">
        <v>0</v>
      </c>
      <c r="DP438">
        <v>1</v>
      </c>
      <c r="DQ438">
        <v>0</v>
      </c>
      <c r="DR438">
        <v>0</v>
      </c>
      <c r="DS438">
        <v>0</v>
      </c>
    </row>
    <row r="439" spans="1:123" x14ac:dyDescent="0.25">
      <c r="A439" t="str">
        <f>"11/29/2023 20:21:28.742"</f>
        <v>11/29/2023 20:21:28.742</v>
      </c>
      <c r="C439" t="str">
        <f t="shared" si="54"/>
        <v>FFDF53C0</v>
      </c>
      <c r="D439" t="s">
        <v>123</v>
      </c>
      <c r="E439">
        <v>14</v>
      </c>
      <c r="F439">
        <v>1014</v>
      </c>
      <c r="G439" t="s">
        <v>124</v>
      </c>
      <c r="J439" t="s">
        <v>125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"20:21:28.430"</f>
        <v>20:21:28.430</v>
      </c>
      <c r="T439" t="str">
        <f>"20:21:28.230"</f>
        <v>20:21:28.230</v>
      </c>
      <c r="U439" t="str">
        <f t="shared" si="50"/>
        <v>AA0632</v>
      </c>
      <c r="V439">
        <v>0</v>
      </c>
      <c r="W439">
        <v>0</v>
      </c>
      <c r="X439">
        <v>2</v>
      </c>
      <c r="Y439">
        <v>0</v>
      </c>
      <c r="AA439">
        <v>0</v>
      </c>
      <c r="AB439">
        <v>9</v>
      </c>
      <c r="AC439">
        <v>3</v>
      </c>
      <c r="AD439">
        <v>0</v>
      </c>
      <c r="AE439">
        <v>10</v>
      </c>
      <c r="AF439" t="s">
        <v>126</v>
      </c>
      <c r="AG439">
        <v>0</v>
      </c>
      <c r="AH439">
        <v>0</v>
      </c>
      <c r="AI439">
        <v>2</v>
      </c>
      <c r="AJ439">
        <v>0</v>
      </c>
      <c r="AK439" t="s">
        <v>348</v>
      </c>
      <c r="AL439">
        <v>31.953327999999999</v>
      </c>
      <c r="AM439" t="s">
        <v>349</v>
      </c>
      <c r="AN439">
        <v>-101.113229</v>
      </c>
      <c r="AQ439" t="s">
        <v>129</v>
      </c>
      <c r="AR439">
        <v>82</v>
      </c>
      <c r="AS439">
        <v>-42</v>
      </c>
      <c r="AT439">
        <v>-64</v>
      </c>
      <c r="BB439" t="str">
        <f t="shared" si="51"/>
        <v>1200</v>
      </c>
      <c r="BC439">
        <v>1</v>
      </c>
      <c r="BD439" t="str">
        <f t="shared" si="52"/>
        <v xml:space="preserve">N745MB  </v>
      </c>
      <c r="BE439">
        <v>1</v>
      </c>
      <c r="BG439">
        <v>0</v>
      </c>
      <c r="BH439">
        <v>0</v>
      </c>
      <c r="BI439">
        <v>0</v>
      </c>
      <c r="BL439" t="s">
        <v>130</v>
      </c>
      <c r="BM439">
        <v>1</v>
      </c>
      <c r="BN439">
        <v>0</v>
      </c>
      <c r="BO439">
        <v>0</v>
      </c>
      <c r="BP439">
        <v>0</v>
      </c>
      <c r="BT439">
        <v>0</v>
      </c>
      <c r="BU439">
        <v>0</v>
      </c>
      <c r="CE439" t="str">
        <f>"20:21:28.431"</f>
        <v>20:21:28.431</v>
      </c>
      <c r="CF439">
        <v>430531970</v>
      </c>
      <c r="CS439">
        <v>0</v>
      </c>
      <c r="CT439">
        <v>2</v>
      </c>
      <c r="CU439">
        <v>0</v>
      </c>
      <c r="CV439">
        <v>2</v>
      </c>
      <c r="CW439">
        <v>0</v>
      </c>
      <c r="CX439">
        <v>3</v>
      </c>
      <c r="CY439">
        <v>7</v>
      </c>
      <c r="CZ439" t="s">
        <v>131</v>
      </c>
      <c r="DA439">
        <v>116</v>
      </c>
      <c r="DB439">
        <v>3</v>
      </c>
      <c r="DC439" t="s">
        <v>132</v>
      </c>
      <c r="DD439" t="s">
        <v>133</v>
      </c>
      <c r="DG439">
        <v>8266196</v>
      </c>
      <c r="DI439">
        <v>0</v>
      </c>
      <c r="DJ439">
        <v>0</v>
      </c>
      <c r="DK439">
        <v>1</v>
      </c>
      <c r="DL439">
        <v>0</v>
      </c>
      <c r="DM439">
        <v>0</v>
      </c>
      <c r="DN439">
        <v>0</v>
      </c>
      <c r="DO439">
        <v>0</v>
      </c>
      <c r="DP439">
        <v>1</v>
      </c>
      <c r="DQ439">
        <v>0</v>
      </c>
      <c r="DR439">
        <v>0</v>
      </c>
      <c r="DS439">
        <v>0</v>
      </c>
    </row>
    <row r="440" spans="1:123" x14ac:dyDescent="0.25">
      <c r="A440" t="str">
        <f>"11/29/2023 20:21:32.414"</f>
        <v>11/29/2023 20:21:32.414</v>
      </c>
      <c r="C440" t="str">
        <f t="shared" si="54"/>
        <v>FFDF53C0</v>
      </c>
      <c r="D440" t="s">
        <v>123</v>
      </c>
      <c r="E440">
        <v>1</v>
      </c>
      <c r="F440">
        <v>1001</v>
      </c>
      <c r="G440" t="s">
        <v>134</v>
      </c>
      <c r="J440" t="s">
        <v>125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"20:21:31.953"</f>
        <v>20:21:31.953</v>
      </c>
      <c r="T440" t="str">
        <f>"20:21:31.253"</f>
        <v>20:21:31.253</v>
      </c>
      <c r="U440" t="str">
        <f t="shared" si="50"/>
        <v>AA0632</v>
      </c>
      <c r="V440">
        <v>0</v>
      </c>
      <c r="W440">
        <v>0</v>
      </c>
      <c r="X440">
        <v>2</v>
      </c>
      <c r="Y440">
        <v>0</v>
      </c>
      <c r="AA440">
        <v>0</v>
      </c>
      <c r="AB440">
        <v>9</v>
      </c>
      <c r="AC440">
        <v>3</v>
      </c>
      <c r="AD440">
        <v>0</v>
      </c>
      <c r="AE440">
        <v>10</v>
      </c>
      <c r="AF440" t="s">
        <v>126</v>
      </c>
      <c r="AG440">
        <v>0</v>
      </c>
      <c r="AH440">
        <v>0</v>
      </c>
      <c r="AI440">
        <v>2</v>
      </c>
      <c r="AJ440">
        <v>0</v>
      </c>
      <c r="AK440" t="s">
        <v>350</v>
      </c>
      <c r="AL440">
        <v>31.952662</v>
      </c>
      <c r="AM440" t="s">
        <v>351</v>
      </c>
      <c r="AN440">
        <v>-101.111662</v>
      </c>
      <c r="AQ440" t="s">
        <v>129</v>
      </c>
      <c r="AR440">
        <v>82</v>
      </c>
      <c r="AS440">
        <v>-40</v>
      </c>
      <c r="AT440">
        <v>-64</v>
      </c>
      <c r="BB440" t="str">
        <f t="shared" si="51"/>
        <v>1200</v>
      </c>
      <c r="BC440">
        <v>1</v>
      </c>
      <c r="BD440" t="str">
        <f t="shared" si="52"/>
        <v xml:space="preserve">N745MB  </v>
      </c>
      <c r="BE440">
        <v>1</v>
      </c>
      <c r="BG440">
        <v>0</v>
      </c>
      <c r="BH440">
        <v>0</v>
      </c>
      <c r="BI440">
        <v>0</v>
      </c>
      <c r="BL440" t="s">
        <v>130</v>
      </c>
      <c r="BM440">
        <v>1</v>
      </c>
      <c r="BN440">
        <v>0</v>
      </c>
      <c r="BO440">
        <v>0</v>
      </c>
      <c r="BP440">
        <v>0</v>
      </c>
      <c r="BT440">
        <v>0</v>
      </c>
      <c r="BU440">
        <v>0</v>
      </c>
      <c r="CE440" t="str">
        <f>"20:21:31.956"</f>
        <v>20:21:31.956</v>
      </c>
      <c r="CF440">
        <v>956289773</v>
      </c>
      <c r="CS440">
        <v>0</v>
      </c>
      <c r="CT440">
        <v>2</v>
      </c>
      <c r="CU440">
        <v>0</v>
      </c>
      <c r="CV440">
        <v>2</v>
      </c>
      <c r="CW440">
        <v>0</v>
      </c>
      <c r="CX440">
        <v>1</v>
      </c>
      <c r="CY440">
        <v>7</v>
      </c>
      <c r="CZ440" t="s">
        <v>131</v>
      </c>
      <c r="DA440">
        <v>116</v>
      </c>
      <c r="DB440">
        <v>3</v>
      </c>
      <c r="DC440" t="s">
        <v>132</v>
      </c>
      <c r="DD440" t="s">
        <v>133</v>
      </c>
      <c r="DG440">
        <v>8268084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1</v>
      </c>
      <c r="DQ440">
        <v>0</v>
      </c>
      <c r="DR440">
        <v>0</v>
      </c>
      <c r="DS440">
        <v>0</v>
      </c>
    </row>
    <row r="441" spans="1:123" x14ac:dyDescent="0.25">
      <c r="A441" t="str">
        <f>"11/29/2023 20:21:32.461"</f>
        <v>11/29/2023 20:21:32.461</v>
      </c>
      <c r="C441" t="str">
        <f t="shared" si="54"/>
        <v>FFDF53C0</v>
      </c>
      <c r="D441" t="s">
        <v>138</v>
      </c>
      <c r="E441">
        <v>3</v>
      </c>
      <c r="H441">
        <v>160</v>
      </c>
      <c r="I441" t="s">
        <v>124</v>
      </c>
      <c r="J441" t="s">
        <v>139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"20:21:31.953"</f>
        <v>20:21:31.953</v>
      </c>
      <c r="T441" t="str">
        <f>"20:21:31.253"</f>
        <v>20:21:31.253</v>
      </c>
      <c r="U441" t="str">
        <f t="shared" si="50"/>
        <v>AA0632</v>
      </c>
      <c r="V441">
        <v>0</v>
      </c>
      <c r="W441">
        <v>0</v>
      </c>
      <c r="X441">
        <v>2</v>
      </c>
      <c r="Y441">
        <v>0</v>
      </c>
      <c r="AA441">
        <v>0</v>
      </c>
      <c r="AB441">
        <v>9</v>
      </c>
      <c r="AC441">
        <v>3</v>
      </c>
      <c r="AD441">
        <v>0</v>
      </c>
      <c r="AE441">
        <v>10</v>
      </c>
      <c r="AF441" t="s">
        <v>126</v>
      </c>
      <c r="AG441">
        <v>0</v>
      </c>
      <c r="AH441">
        <v>0</v>
      </c>
      <c r="AI441">
        <v>2</v>
      </c>
      <c r="AJ441">
        <v>0</v>
      </c>
      <c r="AK441" t="s">
        <v>350</v>
      </c>
      <c r="AL441">
        <v>31.952662</v>
      </c>
      <c r="AM441" t="s">
        <v>351</v>
      </c>
      <c r="AN441">
        <v>-101.111662</v>
      </c>
      <c r="AQ441" t="s">
        <v>129</v>
      </c>
      <c r="AR441">
        <v>82</v>
      </c>
      <c r="AS441">
        <v>-40</v>
      </c>
      <c r="AT441">
        <v>-64</v>
      </c>
      <c r="BB441" t="str">
        <f t="shared" si="51"/>
        <v>1200</v>
      </c>
      <c r="BC441">
        <v>1</v>
      </c>
      <c r="BD441" t="str">
        <f t="shared" si="52"/>
        <v xml:space="preserve">N745MB  </v>
      </c>
      <c r="BE441">
        <v>1</v>
      </c>
      <c r="BG441">
        <v>0</v>
      </c>
      <c r="BH441">
        <v>0</v>
      </c>
      <c r="BI441">
        <v>0</v>
      </c>
      <c r="BL441" t="s">
        <v>130</v>
      </c>
      <c r="BM441">
        <v>1</v>
      </c>
      <c r="BN441">
        <v>0</v>
      </c>
      <c r="BO441">
        <v>0</v>
      </c>
      <c r="BP441">
        <v>0</v>
      </c>
      <c r="BT441">
        <v>0</v>
      </c>
      <c r="BU441">
        <v>0</v>
      </c>
      <c r="CE441" t="str">
        <f>"20:21:31.956"</f>
        <v>20:21:31.956</v>
      </c>
      <c r="CF441">
        <v>956289773</v>
      </c>
      <c r="CS441">
        <v>0</v>
      </c>
      <c r="CT441">
        <v>2</v>
      </c>
      <c r="CU441">
        <v>0</v>
      </c>
      <c r="CV441">
        <v>2</v>
      </c>
      <c r="CW441">
        <v>0</v>
      </c>
      <c r="CX441">
        <v>1</v>
      </c>
      <c r="CY441">
        <v>7</v>
      </c>
      <c r="CZ441" t="s">
        <v>131</v>
      </c>
      <c r="DA441">
        <v>116</v>
      </c>
      <c r="DB441">
        <v>3</v>
      </c>
      <c r="DC441" t="s">
        <v>132</v>
      </c>
      <c r="DD441" t="s">
        <v>133</v>
      </c>
      <c r="DG441">
        <v>8268084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1</v>
      </c>
      <c r="DQ441">
        <v>0</v>
      </c>
      <c r="DR441">
        <v>0</v>
      </c>
      <c r="DS441">
        <v>0</v>
      </c>
    </row>
    <row r="442" spans="1:123" x14ac:dyDescent="0.25">
      <c r="A442" t="str">
        <f>"11/29/2023 20:21:32.461"</f>
        <v>11/29/2023 20:21:32.461</v>
      </c>
      <c r="C442" t="str">
        <f t="shared" si="54"/>
        <v>FFDF53C0</v>
      </c>
      <c r="D442" t="s">
        <v>135</v>
      </c>
      <c r="E442">
        <v>31</v>
      </c>
      <c r="H442">
        <v>285</v>
      </c>
      <c r="I442" t="s">
        <v>136</v>
      </c>
      <c r="J442" t="s">
        <v>137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"20:21:31.953"</f>
        <v>20:21:31.953</v>
      </c>
      <c r="T442" t="str">
        <f>"20:21:31.253"</f>
        <v>20:21:31.253</v>
      </c>
      <c r="U442" t="str">
        <f t="shared" si="50"/>
        <v>AA0632</v>
      </c>
      <c r="V442">
        <v>0</v>
      </c>
      <c r="W442">
        <v>0</v>
      </c>
      <c r="X442">
        <v>2</v>
      </c>
      <c r="Y442">
        <v>0</v>
      </c>
      <c r="AA442">
        <v>0</v>
      </c>
      <c r="AB442">
        <v>9</v>
      </c>
      <c r="AC442">
        <v>3</v>
      </c>
      <c r="AD442">
        <v>0</v>
      </c>
      <c r="AE442">
        <v>10</v>
      </c>
      <c r="AF442" t="s">
        <v>126</v>
      </c>
      <c r="AG442">
        <v>0</v>
      </c>
      <c r="AH442">
        <v>0</v>
      </c>
      <c r="AI442">
        <v>2</v>
      </c>
      <c r="AJ442">
        <v>0</v>
      </c>
      <c r="AK442" t="s">
        <v>350</v>
      </c>
      <c r="AL442">
        <v>31.952662</v>
      </c>
      <c r="AM442" t="s">
        <v>351</v>
      </c>
      <c r="AN442">
        <v>-101.111662</v>
      </c>
      <c r="AQ442" t="s">
        <v>129</v>
      </c>
      <c r="AR442">
        <v>82</v>
      </c>
      <c r="AS442">
        <v>-40</v>
      </c>
      <c r="AT442">
        <v>-64</v>
      </c>
      <c r="BB442" t="str">
        <f t="shared" si="51"/>
        <v>1200</v>
      </c>
      <c r="BC442">
        <v>1</v>
      </c>
      <c r="BD442" t="str">
        <f t="shared" si="52"/>
        <v xml:space="preserve">N745MB  </v>
      </c>
      <c r="BE442">
        <v>1</v>
      </c>
      <c r="BG442">
        <v>0</v>
      </c>
      <c r="BH442">
        <v>0</v>
      </c>
      <c r="BI442">
        <v>0</v>
      </c>
      <c r="BL442" t="s">
        <v>130</v>
      </c>
      <c r="BM442">
        <v>1</v>
      </c>
      <c r="BN442">
        <v>0</v>
      </c>
      <c r="BO442">
        <v>0</v>
      </c>
      <c r="BP442">
        <v>0</v>
      </c>
      <c r="BT442">
        <v>0</v>
      </c>
      <c r="BU442">
        <v>0</v>
      </c>
      <c r="CE442" t="str">
        <f>"20:21:31.956"</f>
        <v>20:21:31.956</v>
      </c>
      <c r="CF442">
        <v>956289773</v>
      </c>
      <c r="CS442">
        <v>0</v>
      </c>
      <c r="CT442">
        <v>2</v>
      </c>
      <c r="CU442">
        <v>0</v>
      </c>
      <c r="CV442">
        <v>2</v>
      </c>
      <c r="CW442">
        <v>0</v>
      </c>
      <c r="CX442">
        <v>1</v>
      </c>
      <c r="CY442">
        <v>7</v>
      </c>
      <c r="CZ442" t="s">
        <v>131</v>
      </c>
      <c r="DA442">
        <v>116</v>
      </c>
      <c r="DB442">
        <v>3</v>
      </c>
      <c r="DC442" t="s">
        <v>132</v>
      </c>
      <c r="DD442" t="s">
        <v>133</v>
      </c>
      <c r="DG442">
        <v>8268084</v>
      </c>
      <c r="DI442">
        <v>0</v>
      </c>
      <c r="DJ442">
        <v>0</v>
      </c>
      <c r="DK442">
        <v>1</v>
      </c>
      <c r="DL442">
        <v>0</v>
      </c>
      <c r="DM442">
        <v>0</v>
      </c>
      <c r="DN442">
        <v>0</v>
      </c>
      <c r="DO442">
        <v>0</v>
      </c>
      <c r="DP442">
        <v>1</v>
      </c>
      <c r="DQ442">
        <v>0</v>
      </c>
      <c r="DR442">
        <v>0</v>
      </c>
      <c r="DS442">
        <v>0</v>
      </c>
    </row>
    <row r="443" spans="1:123" x14ac:dyDescent="0.25">
      <c r="A443" t="str">
        <f>"11/29/2023 20:21:32.461"</f>
        <v>11/29/2023 20:21:32.461</v>
      </c>
      <c r="C443" t="str">
        <f t="shared" si="54"/>
        <v>FFDF53C0</v>
      </c>
      <c r="D443" t="s">
        <v>123</v>
      </c>
      <c r="E443">
        <v>14</v>
      </c>
      <c r="F443">
        <v>1014</v>
      </c>
      <c r="G443" t="s">
        <v>124</v>
      </c>
      <c r="J443" t="s">
        <v>125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"20:21:31.953"</f>
        <v>20:21:31.953</v>
      </c>
      <c r="T443" t="str">
        <f>"20:21:31.253"</f>
        <v>20:21:31.253</v>
      </c>
      <c r="U443" t="str">
        <f t="shared" si="50"/>
        <v>AA0632</v>
      </c>
      <c r="V443">
        <v>0</v>
      </c>
      <c r="W443">
        <v>0</v>
      </c>
      <c r="X443">
        <v>2</v>
      </c>
      <c r="Y443">
        <v>0</v>
      </c>
      <c r="AA443">
        <v>0</v>
      </c>
      <c r="AB443">
        <v>9</v>
      </c>
      <c r="AC443">
        <v>3</v>
      </c>
      <c r="AD443">
        <v>0</v>
      </c>
      <c r="AE443">
        <v>10</v>
      </c>
      <c r="AF443" t="s">
        <v>126</v>
      </c>
      <c r="AG443">
        <v>0</v>
      </c>
      <c r="AH443">
        <v>0</v>
      </c>
      <c r="AI443">
        <v>2</v>
      </c>
      <c r="AJ443">
        <v>0</v>
      </c>
      <c r="AK443" t="s">
        <v>350</v>
      </c>
      <c r="AL443">
        <v>31.952662</v>
      </c>
      <c r="AM443" t="s">
        <v>351</v>
      </c>
      <c r="AN443">
        <v>-101.111662</v>
      </c>
      <c r="AQ443" t="s">
        <v>129</v>
      </c>
      <c r="AR443">
        <v>82</v>
      </c>
      <c r="AS443">
        <v>-40</v>
      </c>
      <c r="AT443">
        <v>-64</v>
      </c>
      <c r="BB443" t="str">
        <f t="shared" si="51"/>
        <v>1200</v>
      </c>
      <c r="BC443">
        <v>1</v>
      </c>
      <c r="BD443" t="str">
        <f t="shared" si="52"/>
        <v xml:space="preserve">N745MB  </v>
      </c>
      <c r="BE443">
        <v>1</v>
      </c>
      <c r="BG443">
        <v>0</v>
      </c>
      <c r="BH443">
        <v>0</v>
      </c>
      <c r="BI443">
        <v>0</v>
      </c>
      <c r="BL443" t="s">
        <v>130</v>
      </c>
      <c r="BM443">
        <v>1</v>
      </c>
      <c r="BN443">
        <v>0</v>
      </c>
      <c r="BO443">
        <v>0</v>
      </c>
      <c r="BP443">
        <v>0</v>
      </c>
      <c r="BT443">
        <v>0</v>
      </c>
      <c r="BU443">
        <v>0</v>
      </c>
      <c r="CE443" t="str">
        <f>"20:21:31.956"</f>
        <v>20:21:31.956</v>
      </c>
      <c r="CF443">
        <v>956289773</v>
      </c>
      <c r="CS443">
        <v>0</v>
      </c>
      <c r="CT443">
        <v>2</v>
      </c>
      <c r="CU443">
        <v>0</v>
      </c>
      <c r="CV443">
        <v>2</v>
      </c>
      <c r="CW443">
        <v>0</v>
      </c>
      <c r="CX443">
        <v>1</v>
      </c>
      <c r="CY443">
        <v>7</v>
      </c>
      <c r="CZ443" t="s">
        <v>131</v>
      </c>
      <c r="DA443">
        <v>116</v>
      </c>
      <c r="DB443">
        <v>3</v>
      </c>
      <c r="DC443" t="s">
        <v>132</v>
      </c>
      <c r="DD443" t="s">
        <v>133</v>
      </c>
      <c r="DG443">
        <v>8268084</v>
      </c>
      <c r="DI443">
        <v>0</v>
      </c>
      <c r="DJ443">
        <v>0</v>
      </c>
      <c r="DK443">
        <v>1</v>
      </c>
      <c r="DL443">
        <v>0</v>
      </c>
      <c r="DM443">
        <v>0</v>
      </c>
      <c r="DN443">
        <v>0</v>
      </c>
      <c r="DO443">
        <v>0</v>
      </c>
      <c r="DP443">
        <v>1</v>
      </c>
      <c r="DQ443">
        <v>0</v>
      </c>
      <c r="DR443">
        <v>0</v>
      </c>
      <c r="DS443">
        <v>0</v>
      </c>
    </row>
    <row r="444" spans="1:123" x14ac:dyDescent="0.25">
      <c r="A444" t="str">
        <f>"11/29/2023 20:21:33.633"</f>
        <v>11/29/2023 20:21:33.633</v>
      </c>
      <c r="C444" t="str">
        <f t="shared" si="54"/>
        <v>FFDF53C0</v>
      </c>
      <c r="D444" t="s">
        <v>123</v>
      </c>
      <c r="E444">
        <v>1</v>
      </c>
      <c r="F444">
        <v>1001</v>
      </c>
      <c r="G444" t="s">
        <v>134</v>
      </c>
      <c r="J444" t="s">
        <v>125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"20:21:33.344"</f>
        <v>20:21:33.344</v>
      </c>
      <c r="T444" t="str">
        <f>"20:21:33.144"</f>
        <v>20:21:33.144</v>
      </c>
      <c r="U444" t="str">
        <f t="shared" si="50"/>
        <v>AA0632</v>
      </c>
      <c r="V444">
        <v>0</v>
      </c>
      <c r="W444">
        <v>0</v>
      </c>
      <c r="X444">
        <v>2</v>
      </c>
      <c r="Y444">
        <v>0</v>
      </c>
      <c r="AA444">
        <v>0</v>
      </c>
      <c r="AB444">
        <v>9</v>
      </c>
      <c r="AC444">
        <v>3</v>
      </c>
      <c r="AD444">
        <v>0</v>
      </c>
      <c r="AE444">
        <v>10</v>
      </c>
      <c r="AF444" t="s">
        <v>126</v>
      </c>
      <c r="AG444">
        <v>0</v>
      </c>
      <c r="AH444">
        <v>0</v>
      </c>
      <c r="AI444">
        <v>2</v>
      </c>
      <c r="AJ444">
        <v>0</v>
      </c>
      <c r="AK444" t="s">
        <v>352</v>
      </c>
      <c r="AL444">
        <v>31.952425999999999</v>
      </c>
      <c r="AM444" t="s">
        <v>353</v>
      </c>
      <c r="AN444">
        <v>-101.11104</v>
      </c>
      <c r="AQ444" t="s">
        <v>129</v>
      </c>
      <c r="AR444">
        <v>83</v>
      </c>
      <c r="AS444">
        <v>-39</v>
      </c>
      <c r="AT444">
        <v>-128</v>
      </c>
      <c r="BB444" t="str">
        <f t="shared" si="51"/>
        <v>1200</v>
      </c>
      <c r="BC444">
        <v>1</v>
      </c>
      <c r="BD444" t="str">
        <f t="shared" si="52"/>
        <v xml:space="preserve">N745MB  </v>
      </c>
      <c r="BE444">
        <v>1</v>
      </c>
      <c r="BG444">
        <v>0</v>
      </c>
      <c r="BH444">
        <v>0</v>
      </c>
      <c r="BI444">
        <v>0</v>
      </c>
      <c r="BL444" t="s">
        <v>130</v>
      </c>
      <c r="BM444">
        <v>1</v>
      </c>
      <c r="BN444">
        <v>0</v>
      </c>
      <c r="BO444">
        <v>0</v>
      </c>
      <c r="BP444">
        <v>0</v>
      </c>
      <c r="BT444">
        <v>0</v>
      </c>
      <c r="BU444">
        <v>0</v>
      </c>
      <c r="CE444" t="str">
        <f>"20:21:33.346"</f>
        <v>20:21:33.346</v>
      </c>
      <c r="CF444">
        <v>346194817</v>
      </c>
      <c r="CS444">
        <v>0</v>
      </c>
      <c r="CT444">
        <v>2</v>
      </c>
      <c r="CU444">
        <v>0</v>
      </c>
      <c r="CV444">
        <v>2</v>
      </c>
      <c r="CW444">
        <v>0</v>
      </c>
      <c r="CX444">
        <v>1</v>
      </c>
      <c r="CY444">
        <v>7</v>
      </c>
      <c r="CZ444" t="s">
        <v>131</v>
      </c>
      <c r="DA444">
        <v>116</v>
      </c>
      <c r="DB444">
        <v>3</v>
      </c>
      <c r="DC444" t="s">
        <v>132</v>
      </c>
      <c r="DD444" t="s">
        <v>133</v>
      </c>
      <c r="DG444">
        <v>8268786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1</v>
      </c>
      <c r="DQ444">
        <v>0</v>
      </c>
      <c r="DR444">
        <v>0</v>
      </c>
      <c r="DS444">
        <v>0</v>
      </c>
    </row>
    <row r="445" spans="1:123" x14ac:dyDescent="0.25">
      <c r="A445" t="str">
        <f>"11/29/2023 20:21:33.648"</f>
        <v>11/29/2023 20:21:33.648</v>
      </c>
      <c r="C445" t="str">
        <f t="shared" si="54"/>
        <v>FFDF53C0</v>
      </c>
      <c r="D445" t="s">
        <v>138</v>
      </c>
      <c r="E445">
        <v>3</v>
      </c>
      <c r="H445">
        <v>160</v>
      </c>
      <c r="I445" t="s">
        <v>124</v>
      </c>
      <c r="J445" t="s">
        <v>139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"20:21:33.344"</f>
        <v>20:21:33.344</v>
      </c>
      <c r="T445" t="str">
        <f>"20:21:33.144"</f>
        <v>20:21:33.144</v>
      </c>
      <c r="U445" t="str">
        <f t="shared" si="50"/>
        <v>AA0632</v>
      </c>
      <c r="V445">
        <v>0</v>
      </c>
      <c r="W445">
        <v>0</v>
      </c>
      <c r="X445">
        <v>2</v>
      </c>
      <c r="Y445">
        <v>0</v>
      </c>
      <c r="AA445">
        <v>0</v>
      </c>
      <c r="AB445">
        <v>9</v>
      </c>
      <c r="AC445">
        <v>3</v>
      </c>
      <c r="AD445">
        <v>0</v>
      </c>
      <c r="AE445">
        <v>10</v>
      </c>
      <c r="AF445" t="s">
        <v>126</v>
      </c>
      <c r="AG445">
        <v>0</v>
      </c>
      <c r="AH445">
        <v>0</v>
      </c>
      <c r="AI445">
        <v>2</v>
      </c>
      <c r="AJ445">
        <v>0</v>
      </c>
      <c r="AK445" t="s">
        <v>352</v>
      </c>
      <c r="AL445">
        <v>31.952425999999999</v>
      </c>
      <c r="AM445" t="s">
        <v>353</v>
      </c>
      <c r="AN445">
        <v>-101.11104</v>
      </c>
      <c r="AQ445" t="s">
        <v>129</v>
      </c>
      <c r="AR445">
        <v>83</v>
      </c>
      <c r="AS445">
        <v>-39</v>
      </c>
      <c r="AT445">
        <v>-128</v>
      </c>
      <c r="BB445" t="str">
        <f t="shared" si="51"/>
        <v>1200</v>
      </c>
      <c r="BC445">
        <v>1</v>
      </c>
      <c r="BD445" t="str">
        <f t="shared" si="52"/>
        <v xml:space="preserve">N745MB  </v>
      </c>
      <c r="BE445">
        <v>1</v>
      </c>
      <c r="BG445">
        <v>0</v>
      </c>
      <c r="BH445">
        <v>0</v>
      </c>
      <c r="BI445">
        <v>0</v>
      </c>
      <c r="BL445" t="s">
        <v>130</v>
      </c>
      <c r="BM445">
        <v>1</v>
      </c>
      <c r="BN445">
        <v>0</v>
      </c>
      <c r="BO445">
        <v>0</v>
      </c>
      <c r="BP445">
        <v>0</v>
      </c>
      <c r="BT445">
        <v>0</v>
      </c>
      <c r="BU445">
        <v>0</v>
      </c>
      <c r="CE445" t="str">
        <f>"20:21:33.346"</f>
        <v>20:21:33.346</v>
      </c>
      <c r="CF445">
        <v>346194817</v>
      </c>
      <c r="CS445">
        <v>0</v>
      </c>
      <c r="CT445">
        <v>2</v>
      </c>
      <c r="CU445">
        <v>0</v>
      </c>
      <c r="CV445">
        <v>2</v>
      </c>
      <c r="CW445">
        <v>0</v>
      </c>
      <c r="CX445">
        <v>1</v>
      </c>
      <c r="CY445">
        <v>7</v>
      </c>
      <c r="CZ445" t="s">
        <v>131</v>
      </c>
      <c r="DA445">
        <v>116</v>
      </c>
      <c r="DB445">
        <v>3</v>
      </c>
      <c r="DC445" t="s">
        <v>132</v>
      </c>
      <c r="DD445" t="s">
        <v>133</v>
      </c>
      <c r="DG445">
        <v>8268786</v>
      </c>
      <c r="DI445">
        <v>0</v>
      </c>
      <c r="DJ445">
        <v>0</v>
      </c>
      <c r="DK445">
        <v>1</v>
      </c>
      <c r="DL445">
        <v>0</v>
      </c>
      <c r="DM445">
        <v>0</v>
      </c>
      <c r="DN445">
        <v>0</v>
      </c>
      <c r="DO445">
        <v>0</v>
      </c>
      <c r="DP445">
        <v>1</v>
      </c>
      <c r="DQ445">
        <v>0</v>
      </c>
      <c r="DR445">
        <v>0</v>
      </c>
      <c r="DS445">
        <v>0</v>
      </c>
    </row>
    <row r="446" spans="1:123" x14ac:dyDescent="0.25">
      <c r="A446" t="str">
        <f>"11/29/2023 20:21:33.664"</f>
        <v>11/29/2023 20:21:33.664</v>
      </c>
      <c r="C446" t="str">
        <f t="shared" si="54"/>
        <v>FFDF53C0</v>
      </c>
      <c r="D446" t="s">
        <v>135</v>
      </c>
      <c r="E446">
        <v>31</v>
      </c>
      <c r="H446">
        <v>285</v>
      </c>
      <c r="I446" t="s">
        <v>136</v>
      </c>
      <c r="J446" t="s">
        <v>137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"20:21:33.344"</f>
        <v>20:21:33.344</v>
      </c>
      <c r="T446" t="str">
        <f>"20:21:33.144"</f>
        <v>20:21:33.144</v>
      </c>
      <c r="U446" t="str">
        <f t="shared" si="50"/>
        <v>AA0632</v>
      </c>
      <c r="V446">
        <v>0</v>
      </c>
      <c r="W446">
        <v>0</v>
      </c>
      <c r="X446">
        <v>2</v>
      </c>
      <c r="Y446">
        <v>0</v>
      </c>
      <c r="AA446">
        <v>0</v>
      </c>
      <c r="AB446">
        <v>9</v>
      </c>
      <c r="AC446">
        <v>3</v>
      </c>
      <c r="AD446">
        <v>0</v>
      </c>
      <c r="AE446">
        <v>10</v>
      </c>
      <c r="AF446" t="s">
        <v>126</v>
      </c>
      <c r="AG446">
        <v>0</v>
      </c>
      <c r="AH446">
        <v>0</v>
      </c>
      <c r="AI446">
        <v>2</v>
      </c>
      <c r="AJ446">
        <v>0</v>
      </c>
      <c r="AK446" t="s">
        <v>352</v>
      </c>
      <c r="AL446">
        <v>31.952425999999999</v>
      </c>
      <c r="AM446" t="s">
        <v>353</v>
      </c>
      <c r="AN446">
        <v>-101.11104</v>
      </c>
      <c r="AQ446" t="s">
        <v>129</v>
      </c>
      <c r="AR446">
        <v>83</v>
      </c>
      <c r="AS446">
        <v>-39</v>
      </c>
      <c r="AT446">
        <v>-128</v>
      </c>
      <c r="BB446" t="str">
        <f t="shared" si="51"/>
        <v>1200</v>
      </c>
      <c r="BC446">
        <v>1</v>
      </c>
      <c r="BD446" t="str">
        <f t="shared" si="52"/>
        <v xml:space="preserve">N745MB  </v>
      </c>
      <c r="BE446">
        <v>1</v>
      </c>
      <c r="BG446">
        <v>0</v>
      </c>
      <c r="BH446">
        <v>0</v>
      </c>
      <c r="BI446">
        <v>0</v>
      </c>
      <c r="BL446" t="s">
        <v>130</v>
      </c>
      <c r="BM446">
        <v>1</v>
      </c>
      <c r="BN446">
        <v>0</v>
      </c>
      <c r="BO446">
        <v>0</v>
      </c>
      <c r="BP446">
        <v>0</v>
      </c>
      <c r="BT446">
        <v>0</v>
      </c>
      <c r="BU446">
        <v>0</v>
      </c>
      <c r="CE446" t="str">
        <f>"20:21:33.346"</f>
        <v>20:21:33.346</v>
      </c>
      <c r="CF446">
        <v>346194817</v>
      </c>
      <c r="CS446">
        <v>0</v>
      </c>
      <c r="CT446">
        <v>2</v>
      </c>
      <c r="CU446">
        <v>0</v>
      </c>
      <c r="CV446">
        <v>2</v>
      </c>
      <c r="CW446">
        <v>0</v>
      </c>
      <c r="CX446">
        <v>1</v>
      </c>
      <c r="CY446">
        <v>7</v>
      </c>
      <c r="CZ446" t="s">
        <v>131</v>
      </c>
      <c r="DA446">
        <v>116</v>
      </c>
      <c r="DB446">
        <v>3</v>
      </c>
      <c r="DC446" t="s">
        <v>132</v>
      </c>
      <c r="DD446" t="s">
        <v>133</v>
      </c>
      <c r="DG446">
        <v>8268786</v>
      </c>
      <c r="DI446">
        <v>0</v>
      </c>
      <c r="DJ446">
        <v>0</v>
      </c>
      <c r="DK446">
        <v>1</v>
      </c>
      <c r="DL446">
        <v>0</v>
      </c>
      <c r="DM446">
        <v>0</v>
      </c>
      <c r="DN446">
        <v>0</v>
      </c>
      <c r="DO446">
        <v>0</v>
      </c>
      <c r="DP446">
        <v>1</v>
      </c>
      <c r="DQ446">
        <v>0</v>
      </c>
      <c r="DR446">
        <v>0</v>
      </c>
      <c r="DS446">
        <v>0</v>
      </c>
    </row>
    <row r="447" spans="1:123" x14ac:dyDescent="0.25">
      <c r="A447" t="str">
        <f>"11/29/2023 20:21:33.664"</f>
        <v>11/29/2023 20:21:33.664</v>
      </c>
      <c r="C447" t="str">
        <f t="shared" si="54"/>
        <v>FFDF53C0</v>
      </c>
      <c r="D447" t="s">
        <v>123</v>
      </c>
      <c r="E447">
        <v>14</v>
      </c>
      <c r="F447">
        <v>1014</v>
      </c>
      <c r="G447" t="s">
        <v>124</v>
      </c>
      <c r="J447" t="s">
        <v>125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"20:21:33.344"</f>
        <v>20:21:33.344</v>
      </c>
      <c r="T447" t="str">
        <f>"20:21:33.144"</f>
        <v>20:21:33.144</v>
      </c>
      <c r="U447" t="str">
        <f t="shared" si="50"/>
        <v>AA0632</v>
      </c>
      <c r="V447">
        <v>0</v>
      </c>
      <c r="W447">
        <v>0</v>
      </c>
      <c r="X447">
        <v>2</v>
      </c>
      <c r="Y447">
        <v>0</v>
      </c>
      <c r="AA447">
        <v>0</v>
      </c>
      <c r="AB447">
        <v>9</v>
      </c>
      <c r="AC447">
        <v>3</v>
      </c>
      <c r="AD447">
        <v>0</v>
      </c>
      <c r="AE447">
        <v>10</v>
      </c>
      <c r="AF447" t="s">
        <v>126</v>
      </c>
      <c r="AG447">
        <v>0</v>
      </c>
      <c r="AH447">
        <v>0</v>
      </c>
      <c r="AI447">
        <v>2</v>
      </c>
      <c r="AJ447">
        <v>0</v>
      </c>
      <c r="AK447" t="s">
        <v>352</v>
      </c>
      <c r="AL447">
        <v>31.952425999999999</v>
      </c>
      <c r="AM447" t="s">
        <v>353</v>
      </c>
      <c r="AN447">
        <v>-101.11104</v>
      </c>
      <c r="AQ447" t="s">
        <v>129</v>
      </c>
      <c r="AR447">
        <v>83</v>
      </c>
      <c r="AS447">
        <v>-39</v>
      </c>
      <c r="AT447">
        <v>-128</v>
      </c>
      <c r="BB447" t="str">
        <f t="shared" si="51"/>
        <v>1200</v>
      </c>
      <c r="BC447">
        <v>1</v>
      </c>
      <c r="BD447" t="str">
        <f t="shared" si="52"/>
        <v xml:space="preserve">N745MB  </v>
      </c>
      <c r="BE447">
        <v>1</v>
      </c>
      <c r="BG447">
        <v>0</v>
      </c>
      <c r="BH447">
        <v>0</v>
      </c>
      <c r="BI447">
        <v>0</v>
      </c>
      <c r="BL447" t="s">
        <v>130</v>
      </c>
      <c r="BM447">
        <v>1</v>
      </c>
      <c r="BN447">
        <v>0</v>
      </c>
      <c r="BO447">
        <v>0</v>
      </c>
      <c r="BP447">
        <v>0</v>
      </c>
      <c r="BT447">
        <v>0</v>
      </c>
      <c r="BU447">
        <v>0</v>
      </c>
      <c r="CE447" t="str">
        <f>"20:21:33.346"</f>
        <v>20:21:33.346</v>
      </c>
      <c r="CF447">
        <v>346194817</v>
      </c>
      <c r="CS447">
        <v>0</v>
      </c>
      <c r="CT447">
        <v>2</v>
      </c>
      <c r="CU447">
        <v>0</v>
      </c>
      <c r="CV447">
        <v>2</v>
      </c>
      <c r="CW447">
        <v>0</v>
      </c>
      <c r="CX447">
        <v>1</v>
      </c>
      <c r="CY447">
        <v>7</v>
      </c>
      <c r="CZ447" t="s">
        <v>131</v>
      </c>
      <c r="DA447">
        <v>116</v>
      </c>
      <c r="DB447">
        <v>3</v>
      </c>
      <c r="DC447" t="s">
        <v>132</v>
      </c>
      <c r="DD447" t="s">
        <v>133</v>
      </c>
      <c r="DG447">
        <v>8268786</v>
      </c>
      <c r="DI447">
        <v>0</v>
      </c>
      <c r="DJ447">
        <v>0</v>
      </c>
      <c r="DK447">
        <v>1</v>
      </c>
      <c r="DL447">
        <v>0</v>
      </c>
      <c r="DM447">
        <v>0</v>
      </c>
      <c r="DN447">
        <v>0</v>
      </c>
      <c r="DO447">
        <v>0</v>
      </c>
      <c r="DP447">
        <v>1</v>
      </c>
      <c r="DQ447">
        <v>0</v>
      </c>
      <c r="DR447">
        <v>0</v>
      </c>
      <c r="DS447">
        <v>0</v>
      </c>
    </row>
    <row r="448" spans="1:123" x14ac:dyDescent="0.25">
      <c r="A448" t="str">
        <f>"11/29/2023 20:22:04.398"</f>
        <v>11/29/2023 20:22:04.398</v>
      </c>
      <c r="C448" t="str">
        <f>"FFDF13C0"</f>
        <v>FFDF13C0</v>
      </c>
      <c r="D448" t="s">
        <v>123</v>
      </c>
      <c r="E448">
        <v>14</v>
      </c>
      <c r="F448">
        <v>1014</v>
      </c>
      <c r="G448" t="s">
        <v>124</v>
      </c>
      <c r="J448" t="s">
        <v>125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"20:22:03.766"</f>
        <v>20:22:03.766</v>
      </c>
      <c r="T448" t="str">
        <f>"20:22:02.066"</f>
        <v>20:22:02.066</v>
      </c>
      <c r="U448" t="str">
        <f t="shared" si="50"/>
        <v>AA0632</v>
      </c>
      <c r="V448">
        <v>0</v>
      </c>
      <c r="W448">
        <v>0</v>
      </c>
      <c r="X448">
        <v>2</v>
      </c>
      <c r="Y448">
        <v>0</v>
      </c>
      <c r="AA448">
        <v>0</v>
      </c>
      <c r="AB448">
        <v>0</v>
      </c>
      <c r="AC448">
        <v>0</v>
      </c>
      <c r="AD448">
        <v>0</v>
      </c>
      <c r="AF448" t="s">
        <v>126</v>
      </c>
      <c r="AG448">
        <v>0</v>
      </c>
      <c r="AH448">
        <v>0</v>
      </c>
      <c r="AI448">
        <v>2</v>
      </c>
      <c r="AJ448">
        <v>0</v>
      </c>
      <c r="AK448" t="s">
        <v>354</v>
      </c>
      <c r="AL448">
        <v>31.94689</v>
      </c>
      <c r="AM448" t="s">
        <v>355</v>
      </c>
      <c r="AN448">
        <v>-101.097651</v>
      </c>
      <c r="AQ448" t="s">
        <v>129</v>
      </c>
      <c r="AR448">
        <v>77</v>
      </c>
      <c r="AS448">
        <v>-39</v>
      </c>
      <c r="AT448">
        <v>0</v>
      </c>
      <c r="BB448" t="str">
        <f t="shared" si="51"/>
        <v>1200</v>
      </c>
      <c r="BC448">
        <v>1</v>
      </c>
      <c r="BD448" t="str">
        <f t="shared" si="52"/>
        <v xml:space="preserve">N745MB  </v>
      </c>
      <c r="BE448">
        <v>1</v>
      </c>
      <c r="BG448">
        <v>0</v>
      </c>
      <c r="BH448">
        <v>0</v>
      </c>
      <c r="BI448">
        <v>0</v>
      </c>
      <c r="CE448" t="str">
        <f>"20:22:03.772"</f>
        <v>20:22:03.772</v>
      </c>
      <c r="CF448">
        <v>772125775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1</v>
      </c>
      <c r="CY448">
        <v>7</v>
      </c>
      <c r="CZ448" t="s">
        <v>131</v>
      </c>
      <c r="DA448">
        <v>116</v>
      </c>
      <c r="DB448">
        <v>3</v>
      </c>
      <c r="DC448" t="s">
        <v>132</v>
      </c>
      <c r="DD448" t="s">
        <v>133</v>
      </c>
      <c r="DG448">
        <v>8285584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1</v>
      </c>
      <c r="DQ448">
        <v>1</v>
      </c>
      <c r="DR448">
        <v>0</v>
      </c>
      <c r="DS448">
        <v>0</v>
      </c>
    </row>
    <row r="449" spans="1:123" x14ac:dyDescent="0.25">
      <c r="A449" t="str">
        <f>"11/29/2023 20:22:04.398"</f>
        <v>11/29/2023 20:22:04.398</v>
      </c>
      <c r="C449" t="str">
        <f>"FFDF53C0"</f>
        <v>FFDF53C0</v>
      </c>
      <c r="D449" t="s">
        <v>138</v>
      </c>
      <c r="E449">
        <v>3</v>
      </c>
      <c r="H449">
        <v>160</v>
      </c>
      <c r="I449" t="s">
        <v>124</v>
      </c>
      <c r="J449" t="s">
        <v>139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"20:22:03.766"</f>
        <v>20:22:03.766</v>
      </c>
      <c r="T449" t="str">
        <f>"20:22:02.066"</f>
        <v>20:22:02.066</v>
      </c>
      <c r="U449" t="str">
        <f t="shared" si="50"/>
        <v>AA0632</v>
      </c>
      <c r="V449">
        <v>0</v>
      </c>
      <c r="W449">
        <v>0</v>
      </c>
      <c r="X449">
        <v>2</v>
      </c>
      <c r="Y449">
        <v>0</v>
      </c>
      <c r="AA449">
        <v>0</v>
      </c>
      <c r="AB449">
        <v>0</v>
      </c>
      <c r="AC449">
        <v>0</v>
      </c>
      <c r="AD449">
        <v>0</v>
      </c>
      <c r="AF449" t="s">
        <v>126</v>
      </c>
      <c r="AG449">
        <v>0</v>
      </c>
      <c r="AH449">
        <v>0</v>
      </c>
      <c r="AI449">
        <v>2</v>
      </c>
      <c r="AJ449">
        <v>0</v>
      </c>
      <c r="AK449" t="s">
        <v>354</v>
      </c>
      <c r="AL449">
        <v>31.94689</v>
      </c>
      <c r="AM449" t="s">
        <v>355</v>
      </c>
      <c r="AN449">
        <v>-101.097651</v>
      </c>
      <c r="AQ449" t="s">
        <v>129</v>
      </c>
      <c r="AR449">
        <v>77</v>
      </c>
      <c r="AS449">
        <v>-39</v>
      </c>
      <c r="AT449">
        <v>0</v>
      </c>
      <c r="BB449" t="str">
        <f t="shared" si="51"/>
        <v>1200</v>
      </c>
      <c r="BC449">
        <v>1</v>
      </c>
      <c r="BD449" t="str">
        <f t="shared" si="52"/>
        <v xml:space="preserve">N745MB  </v>
      </c>
      <c r="BE449">
        <v>1</v>
      </c>
      <c r="BG449">
        <v>0</v>
      </c>
      <c r="BH449">
        <v>0</v>
      </c>
      <c r="BI449">
        <v>0</v>
      </c>
      <c r="BL449" t="s">
        <v>130</v>
      </c>
      <c r="BM449">
        <v>0</v>
      </c>
      <c r="BN449">
        <v>0</v>
      </c>
      <c r="BO449">
        <v>0</v>
      </c>
      <c r="BP449">
        <v>0</v>
      </c>
      <c r="BT449">
        <v>0</v>
      </c>
      <c r="BU449">
        <v>0</v>
      </c>
      <c r="CE449" t="str">
        <f>"20:22:03.772"</f>
        <v>20:22:03.772</v>
      </c>
      <c r="CF449">
        <v>772125775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1</v>
      </c>
      <c r="CY449">
        <v>7</v>
      </c>
      <c r="CZ449" t="s">
        <v>131</v>
      </c>
      <c r="DA449">
        <v>116</v>
      </c>
      <c r="DB449">
        <v>3</v>
      </c>
      <c r="DC449" t="s">
        <v>132</v>
      </c>
      <c r="DD449" t="s">
        <v>133</v>
      </c>
      <c r="DG449">
        <v>8285584</v>
      </c>
      <c r="DI449">
        <v>0</v>
      </c>
      <c r="DJ449">
        <v>0</v>
      </c>
      <c r="DK449">
        <v>1</v>
      </c>
      <c r="DL449">
        <v>0</v>
      </c>
      <c r="DM449">
        <v>0</v>
      </c>
      <c r="DN449">
        <v>0</v>
      </c>
      <c r="DO449">
        <v>0</v>
      </c>
      <c r="DP449">
        <v>1</v>
      </c>
      <c r="DQ449">
        <v>1</v>
      </c>
      <c r="DR449">
        <v>0</v>
      </c>
      <c r="DS449">
        <v>0</v>
      </c>
    </row>
    <row r="450" spans="1:123" x14ac:dyDescent="0.25">
      <c r="A450" t="str">
        <f>"11/29/2023 20:22:04.398"</f>
        <v>11/29/2023 20:22:04.398</v>
      </c>
      <c r="C450" t="str">
        <f>"FFDF53C0"</f>
        <v>FFDF53C0</v>
      </c>
      <c r="D450" t="s">
        <v>135</v>
      </c>
      <c r="E450">
        <v>31</v>
      </c>
      <c r="H450">
        <v>285</v>
      </c>
      <c r="I450" t="s">
        <v>136</v>
      </c>
      <c r="J450" t="s">
        <v>137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"20:22:03.766"</f>
        <v>20:22:03.766</v>
      </c>
      <c r="T450" t="str">
        <f>"20:22:02.066"</f>
        <v>20:22:02.066</v>
      </c>
      <c r="U450" t="str">
        <f t="shared" ref="U450:U513" si="56">"AA0632"</f>
        <v>AA0632</v>
      </c>
      <c r="V450">
        <v>0</v>
      </c>
      <c r="W450">
        <v>0</v>
      </c>
      <c r="X450">
        <v>2</v>
      </c>
      <c r="Y450">
        <v>0</v>
      </c>
      <c r="AA450">
        <v>0</v>
      </c>
      <c r="AB450">
        <v>0</v>
      </c>
      <c r="AC450">
        <v>0</v>
      </c>
      <c r="AD450">
        <v>0</v>
      </c>
      <c r="AF450" t="s">
        <v>126</v>
      </c>
      <c r="AG450">
        <v>0</v>
      </c>
      <c r="AH450">
        <v>0</v>
      </c>
      <c r="AI450">
        <v>2</v>
      </c>
      <c r="AJ450">
        <v>0</v>
      </c>
      <c r="AK450" t="s">
        <v>354</v>
      </c>
      <c r="AL450">
        <v>31.94689</v>
      </c>
      <c r="AM450" t="s">
        <v>355</v>
      </c>
      <c r="AN450">
        <v>-101.097651</v>
      </c>
      <c r="AQ450" t="s">
        <v>129</v>
      </c>
      <c r="AR450">
        <v>77</v>
      </c>
      <c r="AS450">
        <v>-39</v>
      </c>
      <c r="AT450">
        <v>0</v>
      </c>
      <c r="BB450" t="str">
        <f t="shared" ref="BB450:BB513" si="57">"1200"</f>
        <v>1200</v>
      </c>
      <c r="BC450">
        <v>1</v>
      </c>
      <c r="BD450" t="str">
        <f t="shared" si="52"/>
        <v xml:space="preserve">N745MB  </v>
      </c>
      <c r="BE450">
        <v>1</v>
      </c>
      <c r="BG450">
        <v>0</v>
      </c>
      <c r="BH450">
        <v>0</v>
      </c>
      <c r="BI450">
        <v>0</v>
      </c>
      <c r="BL450" t="s">
        <v>130</v>
      </c>
      <c r="BM450">
        <v>0</v>
      </c>
      <c r="BN450">
        <v>0</v>
      </c>
      <c r="BO450">
        <v>0</v>
      </c>
      <c r="BP450">
        <v>0</v>
      </c>
      <c r="BT450">
        <v>0</v>
      </c>
      <c r="BU450">
        <v>0</v>
      </c>
      <c r="CE450" t="str">
        <f>"20:22:03.772"</f>
        <v>20:22:03.772</v>
      </c>
      <c r="CF450">
        <v>772125775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1</v>
      </c>
      <c r="CY450">
        <v>7</v>
      </c>
      <c r="CZ450" t="s">
        <v>131</v>
      </c>
      <c r="DA450">
        <v>116</v>
      </c>
      <c r="DB450">
        <v>3</v>
      </c>
      <c r="DC450" t="s">
        <v>132</v>
      </c>
      <c r="DD450" t="s">
        <v>133</v>
      </c>
      <c r="DG450">
        <v>8285584</v>
      </c>
      <c r="DI450">
        <v>0</v>
      </c>
      <c r="DJ450">
        <v>0</v>
      </c>
      <c r="DK450">
        <v>1</v>
      </c>
      <c r="DL450">
        <v>0</v>
      </c>
      <c r="DM450">
        <v>0</v>
      </c>
      <c r="DN450">
        <v>0</v>
      </c>
      <c r="DO450">
        <v>0</v>
      </c>
      <c r="DP450">
        <v>1</v>
      </c>
      <c r="DQ450">
        <v>1</v>
      </c>
      <c r="DR450">
        <v>0</v>
      </c>
      <c r="DS450">
        <v>0</v>
      </c>
    </row>
    <row r="451" spans="1:123" x14ac:dyDescent="0.25">
      <c r="A451" t="str">
        <f>"11/29/2023 20:22:04.398"</f>
        <v>11/29/2023 20:22:04.398</v>
      </c>
      <c r="C451" t="str">
        <f>"FFDF13C0"</f>
        <v>FFDF13C0</v>
      </c>
      <c r="D451" t="s">
        <v>123</v>
      </c>
      <c r="E451">
        <v>1</v>
      </c>
      <c r="F451">
        <v>1001</v>
      </c>
      <c r="G451" t="s">
        <v>134</v>
      </c>
      <c r="J451" t="s">
        <v>125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"20:22:03.766"</f>
        <v>20:22:03.766</v>
      </c>
      <c r="T451" t="str">
        <f>"20:22:02.066"</f>
        <v>20:22:02.066</v>
      </c>
      <c r="U451" t="str">
        <f t="shared" si="56"/>
        <v>AA0632</v>
      </c>
      <c r="V451">
        <v>0</v>
      </c>
      <c r="W451">
        <v>0</v>
      </c>
      <c r="X451">
        <v>2</v>
      </c>
      <c r="Y451">
        <v>0</v>
      </c>
      <c r="AA451">
        <v>0</v>
      </c>
      <c r="AB451">
        <v>0</v>
      </c>
      <c r="AC451">
        <v>0</v>
      </c>
      <c r="AD451">
        <v>0</v>
      </c>
      <c r="AF451" t="s">
        <v>126</v>
      </c>
      <c r="AG451">
        <v>0</v>
      </c>
      <c r="AH451">
        <v>0</v>
      </c>
      <c r="AI451">
        <v>2</v>
      </c>
      <c r="AJ451">
        <v>0</v>
      </c>
      <c r="AK451" t="s">
        <v>354</v>
      </c>
      <c r="AL451">
        <v>31.94689</v>
      </c>
      <c r="AM451" t="s">
        <v>355</v>
      </c>
      <c r="AN451">
        <v>-101.097651</v>
      </c>
      <c r="AQ451" t="s">
        <v>129</v>
      </c>
      <c r="AR451">
        <v>77</v>
      </c>
      <c r="AS451">
        <v>-39</v>
      </c>
      <c r="AT451">
        <v>0</v>
      </c>
      <c r="BB451" t="str">
        <f t="shared" si="57"/>
        <v>1200</v>
      </c>
      <c r="BC451">
        <v>1</v>
      </c>
      <c r="BD451" t="str">
        <f t="shared" si="52"/>
        <v xml:space="preserve">N745MB  </v>
      </c>
      <c r="BE451">
        <v>1</v>
      </c>
      <c r="BG451">
        <v>0</v>
      </c>
      <c r="BH451">
        <v>0</v>
      </c>
      <c r="BI451">
        <v>0</v>
      </c>
      <c r="CE451" t="str">
        <f>"20:22:03.772"</f>
        <v>20:22:03.772</v>
      </c>
      <c r="CF451">
        <v>772125775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1</v>
      </c>
      <c r="CY451">
        <v>7</v>
      </c>
      <c r="CZ451" t="s">
        <v>131</v>
      </c>
      <c r="DA451">
        <v>116</v>
      </c>
      <c r="DB451">
        <v>3</v>
      </c>
      <c r="DC451" t="s">
        <v>132</v>
      </c>
      <c r="DD451" t="s">
        <v>133</v>
      </c>
      <c r="DG451">
        <v>8285584</v>
      </c>
      <c r="DI451">
        <v>0</v>
      </c>
      <c r="DJ451">
        <v>0</v>
      </c>
      <c r="DK451">
        <v>1</v>
      </c>
      <c r="DL451">
        <v>0</v>
      </c>
      <c r="DM451">
        <v>0</v>
      </c>
      <c r="DN451">
        <v>0</v>
      </c>
      <c r="DO451">
        <v>0</v>
      </c>
      <c r="DP451">
        <v>1</v>
      </c>
      <c r="DQ451">
        <v>1</v>
      </c>
      <c r="DR451">
        <v>0</v>
      </c>
      <c r="DS451">
        <v>0</v>
      </c>
    </row>
    <row r="452" spans="1:123" x14ac:dyDescent="0.25">
      <c r="A452" t="str">
        <f>"11/29/2023 20:22:07.305"</f>
        <v>11/29/2023 20:22:07.305</v>
      </c>
      <c r="C452" t="str">
        <f t="shared" ref="C452:C483" si="58">"FFDF53C0"</f>
        <v>FFDF53C0</v>
      </c>
      <c r="D452" t="s">
        <v>135</v>
      </c>
      <c r="E452">
        <v>31</v>
      </c>
      <c r="H452">
        <v>285</v>
      </c>
      <c r="I452" t="s">
        <v>136</v>
      </c>
      <c r="J452" t="s">
        <v>137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"20:22:06.539"</f>
        <v>20:22:06.539</v>
      </c>
      <c r="T452" t="str">
        <f>"20:22:05.939"</f>
        <v>20:22:05.939</v>
      </c>
      <c r="U452" t="str">
        <f t="shared" si="56"/>
        <v>AA0632</v>
      </c>
      <c r="V452">
        <v>0</v>
      </c>
      <c r="W452">
        <v>0</v>
      </c>
      <c r="X452">
        <v>2</v>
      </c>
      <c r="Y452">
        <v>0</v>
      </c>
      <c r="AA452">
        <v>0</v>
      </c>
      <c r="AB452">
        <v>9</v>
      </c>
      <c r="AC452">
        <v>3</v>
      </c>
      <c r="AD452">
        <v>0</v>
      </c>
      <c r="AE452">
        <v>10</v>
      </c>
      <c r="AF452" t="s">
        <v>126</v>
      </c>
      <c r="AG452">
        <v>0</v>
      </c>
      <c r="AH452">
        <v>0</v>
      </c>
      <c r="AI452">
        <v>2</v>
      </c>
      <c r="AJ452">
        <v>0</v>
      </c>
      <c r="AK452" t="s">
        <v>356</v>
      </c>
      <c r="AL452">
        <v>31.946418000000001</v>
      </c>
      <c r="AM452" t="s">
        <v>357</v>
      </c>
      <c r="AN452">
        <v>-101.09647</v>
      </c>
      <c r="AQ452" t="s">
        <v>129</v>
      </c>
      <c r="AR452">
        <v>76</v>
      </c>
      <c r="AS452">
        <v>-38</v>
      </c>
      <c r="AT452">
        <v>192</v>
      </c>
      <c r="BB452" t="str">
        <f t="shared" si="57"/>
        <v>1200</v>
      </c>
      <c r="BC452">
        <v>1</v>
      </c>
      <c r="BD452" t="str">
        <f t="shared" si="52"/>
        <v xml:space="preserve">N745MB  </v>
      </c>
      <c r="BE452">
        <v>1</v>
      </c>
      <c r="BG452">
        <v>0</v>
      </c>
      <c r="BH452">
        <v>0</v>
      </c>
      <c r="BI452">
        <v>0</v>
      </c>
      <c r="BL452" t="s">
        <v>130</v>
      </c>
      <c r="BM452">
        <v>1</v>
      </c>
      <c r="BN452">
        <v>0</v>
      </c>
      <c r="BO452">
        <v>0</v>
      </c>
      <c r="BP452">
        <v>0</v>
      </c>
      <c r="BT452">
        <v>0</v>
      </c>
      <c r="BU452">
        <v>0</v>
      </c>
      <c r="CE452" t="str">
        <f>"20:22:06.542"</f>
        <v>20:22:06.542</v>
      </c>
      <c r="CF452">
        <v>541937909</v>
      </c>
      <c r="CS452">
        <v>0</v>
      </c>
      <c r="CT452">
        <v>2</v>
      </c>
      <c r="CU452">
        <v>0</v>
      </c>
      <c r="CV452">
        <v>2</v>
      </c>
      <c r="CW452">
        <v>0</v>
      </c>
      <c r="CX452">
        <v>3</v>
      </c>
      <c r="CY452">
        <v>7</v>
      </c>
      <c r="CZ452" t="s">
        <v>131</v>
      </c>
      <c r="DA452">
        <v>116</v>
      </c>
      <c r="DB452">
        <v>3</v>
      </c>
      <c r="DC452" t="s">
        <v>132</v>
      </c>
      <c r="DD452" t="s">
        <v>133</v>
      </c>
      <c r="DG452">
        <v>8287088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1</v>
      </c>
      <c r="DQ452">
        <v>0</v>
      </c>
      <c r="DR452">
        <v>0</v>
      </c>
      <c r="DS452">
        <v>0</v>
      </c>
    </row>
    <row r="453" spans="1:123" x14ac:dyDescent="0.25">
      <c r="A453" t="str">
        <f>"11/29/2023 20:22:07.305"</f>
        <v>11/29/2023 20:22:07.305</v>
      </c>
      <c r="C453" t="str">
        <f t="shared" si="58"/>
        <v>FFDF53C0</v>
      </c>
      <c r="D453" t="s">
        <v>123</v>
      </c>
      <c r="E453">
        <v>1</v>
      </c>
      <c r="F453">
        <v>1001</v>
      </c>
      <c r="G453" t="s">
        <v>134</v>
      </c>
      <c r="J453" t="s">
        <v>125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"20:22:06.539"</f>
        <v>20:22:06.539</v>
      </c>
      <c r="T453" t="str">
        <f>"20:22:05.939"</f>
        <v>20:22:05.939</v>
      </c>
      <c r="U453" t="str">
        <f t="shared" si="56"/>
        <v>AA0632</v>
      </c>
      <c r="V453">
        <v>0</v>
      </c>
      <c r="W453">
        <v>0</v>
      </c>
      <c r="X453">
        <v>2</v>
      </c>
      <c r="Y453">
        <v>0</v>
      </c>
      <c r="AA453">
        <v>0</v>
      </c>
      <c r="AB453">
        <v>9</v>
      </c>
      <c r="AC453">
        <v>3</v>
      </c>
      <c r="AD453">
        <v>0</v>
      </c>
      <c r="AE453">
        <v>10</v>
      </c>
      <c r="AF453" t="s">
        <v>126</v>
      </c>
      <c r="AG453">
        <v>0</v>
      </c>
      <c r="AH453">
        <v>0</v>
      </c>
      <c r="AI453">
        <v>2</v>
      </c>
      <c r="AJ453">
        <v>0</v>
      </c>
      <c r="AK453" t="s">
        <v>356</v>
      </c>
      <c r="AL453">
        <v>31.946418000000001</v>
      </c>
      <c r="AM453" t="s">
        <v>357</v>
      </c>
      <c r="AN453">
        <v>-101.09647</v>
      </c>
      <c r="AQ453" t="s">
        <v>129</v>
      </c>
      <c r="AR453">
        <v>76</v>
      </c>
      <c r="AS453">
        <v>-38</v>
      </c>
      <c r="AT453">
        <v>192</v>
      </c>
      <c r="BB453" t="str">
        <f t="shared" si="57"/>
        <v>1200</v>
      </c>
      <c r="BC453">
        <v>1</v>
      </c>
      <c r="BD453" t="str">
        <f t="shared" si="52"/>
        <v xml:space="preserve">N745MB  </v>
      </c>
      <c r="BE453">
        <v>1</v>
      </c>
      <c r="BG453">
        <v>0</v>
      </c>
      <c r="BH453">
        <v>0</v>
      </c>
      <c r="BI453">
        <v>0</v>
      </c>
      <c r="BL453" t="s">
        <v>130</v>
      </c>
      <c r="BM453">
        <v>1</v>
      </c>
      <c r="BN453">
        <v>0</v>
      </c>
      <c r="BO453">
        <v>0</v>
      </c>
      <c r="BP453">
        <v>0</v>
      </c>
      <c r="BT453">
        <v>0</v>
      </c>
      <c r="BU453">
        <v>0</v>
      </c>
      <c r="CE453" t="str">
        <f>"20:22:06.542"</f>
        <v>20:22:06.542</v>
      </c>
      <c r="CF453">
        <v>541937909</v>
      </c>
      <c r="CS453">
        <v>0</v>
      </c>
      <c r="CT453">
        <v>2</v>
      </c>
      <c r="CU453">
        <v>0</v>
      </c>
      <c r="CV453">
        <v>2</v>
      </c>
      <c r="CW453">
        <v>0</v>
      </c>
      <c r="CX453">
        <v>3</v>
      </c>
      <c r="CY453">
        <v>7</v>
      </c>
      <c r="CZ453" t="s">
        <v>131</v>
      </c>
      <c r="DA453">
        <v>116</v>
      </c>
      <c r="DB453">
        <v>3</v>
      </c>
      <c r="DC453" t="s">
        <v>132</v>
      </c>
      <c r="DD453" t="s">
        <v>133</v>
      </c>
      <c r="DG453">
        <v>8287088</v>
      </c>
      <c r="DI453">
        <v>0</v>
      </c>
      <c r="DJ453">
        <v>0</v>
      </c>
      <c r="DK453">
        <v>1</v>
      </c>
      <c r="DL453">
        <v>0</v>
      </c>
      <c r="DM453">
        <v>0</v>
      </c>
      <c r="DN453">
        <v>0</v>
      </c>
      <c r="DO453">
        <v>0</v>
      </c>
      <c r="DP453">
        <v>1</v>
      </c>
      <c r="DQ453">
        <v>0</v>
      </c>
      <c r="DR453">
        <v>0</v>
      </c>
      <c r="DS453">
        <v>0</v>
      </c>
    </row>
    <row r="454" spans="1:123" x14ac:dyDescent="0.25">
      <c r="A454" t="str">
        <f>"11/29/2023 20:22:07.320"</f>
        <v>11/29/2023 20:22:07.320</v>
      </c>
      <c r="C454" t="str">
        <f t="shared" si="58"/>
        <v>FFDF53C0</v>
      </c>
      <c r="D454" t="s">
        <v>123</v>
      </c>
      <c r="E454">
        <v>14</v>
      </c>
      <c r="F454">
        <v>1014</v>
      </c>
      <c r="G454" t="s">
        <v>124</v>
      </c>
      <c r="J454" t="s">
        <v>125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"20:22:06.539"</f>
        <v>20:22:06.539</v>
      </c>
      <c r="T454" t="str">
        <f>"20:22:05.939"</f>
        <v>20:22:05.939</v>
      </c>
      <c r="U454" t="str">
        <f t="shared" si="56"/>
        <v>AA0632</v>
      </c>
      <c r="V454">
        <v>0</v>
      </c>
      <c r="W454">
        <v>0</v>
      </c>
      <c r="X454">
        <v>2</v>
      </c>
      <c r="Y454">
        <v>0</v>
      </c>
      <c r="AA454">
        <v>0</v>
      </c>
      <c r="AB454">
        <v>9</v>
      </c>
      <c r="AC454">
        <v>3</v>
      </c>
      <c r="AD454">
        <v>0</v>
      </c>
      <c r="AE454">
        <v>10</v>
      </c>
      <c r="AF454" t="s">
        <v>126</v>
      </c>
      <c r="AG454">
        <v>0</v>
      </c>
      <c r="AH454">
        <v>0</v>
      </c>
      <c r="AI454">
        <v>2</v>
      </c>
      <c r="AJ454">
        <v>0</v>
      </c>
      <c r="AK454" t="s">
        <v>356</v>
      </c>
      <c r="AL454">
        <v>31.946418000000001</v>
      </c>
      <c r="AM454" t="s">
        <v>357</v>
      </c>
      <c r="AN454">
        <v>-101.09647</v>
      </c>
      <c r="AQ454" t="s">
        <v>129</v>
      </c>
      <c r="AR454">
        <v>76</v>
      </c>
      <c r="AS454">
        <v>-38</v>
      </c>
      <c r="AT454">
        <v>192</v>
      </c>
      <c r="BB454" t="str">
        <f t="shared" si="57"/>
        <v>1200</v>
      </c>
      <c r="BC454">
        <v>1</v>
      </c>
      <c r="BD454" t="str">
        <f t="shared" si="52"/>
        <v xml:space="preserve">N745MB  </v>
      </c>
      <c r="BE454">
        <v>1</v>
      </c>
      <c r="BG454">
        <v>0</v>
      </c>
      <c r="BH454">
        <v>0</v>
      </c>
      <c r="BI454">
        <v>0</v>
      </c>
      <c r="BL454" t="s">
        <v>130</v>
      </c>
      <c r="BM454">
        <v>1</v>
      </c>
      <c r="BN454">
        <v>0</v>
      </c>
      <c r="BO454">
        <v>0</v>
      </c>
      <c r="BP454">
        <v>0</v>
      </c>
      <c r="BT454">
        <v>0</v>
      </c>
      <c r="BU454">
        <v>0</v>
      </c>
      <c r="CE454" t="str">
        <f>"20:22:06.542"</f>
        <v>20:22:06.542</v>
      </c>
      <c r="CF454">
        <v>541937909</v>
      </c>
      <c r="CS454">
        <v>0</v>
      </c>
      <c r="CT454">
        <v>2</v>
      </c>
      <c r="CU454">
        <v>0</v>
      </c>
      <c r="CV454">
        <v>2</v>
      </c>
      <c r="CW454">
        <v>0</v>
      </c>
      <c r="CX454">
        <v>3</v>
      </c>
      <c r="CY454">
        <v>7</v>
      </c>
      <c r="CZ454" t="s">
        <v>131</v>
      </c>
      <c r="DA454">
        <v>116</v>
      </c>
      <c r="DB454">
        <v>3</v>
      </c>
      <c r="DC454" t="s">
        <v>132</v>
      </c>
      <c r="DD454" t="s">
        <v>133</v>
      </c>
      <c r="DG454">
        <v>8287088</v>
      </c>
      <c r="DI454">
        <v>0</v>
      </c>
      <c r="DJ454">
        <v>0</v>
      </c>
      <c r="DK454">
        <v>1</v>
      </c>
      <c r="DL454">
        <v>0</v>
      </c>
      <c r="DM454">
        <v>0</v>
      </c>
      <c r="DN454">
        <v>0</v>
      </c>
      <c r="DO454">
        <v>0</v>
      </c>
      <c r="DP454">
        <v>1</v>
      </c>
      <c r="DQ454">
        <v>0</v>
      </c>
      <c r="DR454">
        <v>0</v>
      </c>
      <c r="DS454">
        <v>0</v>
      </c>
    </row>
    <row r="455" spans="1:123" x14ac:dyDescent="0.25">
      <c r="A455" t="str">
        <f>"11/29/2023 20:22:07.336"</f>
        <v>11/29/2023 20:22:07.336</v>
      </c>
      <c r="C455" t="str">
        <f t="shared" si="58"/>
        <v>FFDF53C0</v>
      </c>
      <c r="D455" t="s">
        <v>138</v>
      </c>
      <c r="E455">
        <v>3</v>
      </c>
      <c r="H455">
        <v>160</v>
      </c>
      <c r="I455" t="s">
        <v>124</v>
      </c>
      <c r="J455" t="s">
        <v>139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"20:22:06.539"</f>
        <v>20:22:06.539</v>
      </c>
      <c r="T455" t="str">
        <f>"20:22:05.939"</f>
        <v>20:22:05.939</v>
      </c>
      <c r="U455" t="str">
        <f t="shared" si="56"/>
        <v>AA0632</v>
      </c>
      <c r="V455">
        <v>0</v>
      </c>
      <c r="W455">
        <v>0</v>
      </c>
      <c r="X455">
        <v>2</v>
      </c>
      <c r="Y455">
        <v>0</v>
      </c>
      <c r="AA455">
        <v>0</v>
      </c>
      <c r="AB455">
        <v>9</v>
      </c>
      <c r="AC455">
        <v>3</v>
      </c>
      <c r="AD455">
        <v>0</v>
      </c>
      <c r="AE455">
        <v>10</v>
      </c>
      <c r="AF455" t="s">
        <v>126</v>
      </c>
      <c r="AG455">
        <v>0</v>
      </c>
      <c r="AH455">
        <v>0</v>
      </c>
      <c r="AI455">
        <v>2</v>
      </c>
      <c r="AJ455">
        <v>0</v>
      </c>
      <c r="AK455" t="s">
        <v>356</v>
      </c>
      <c r="AL455">
        <v>31.946418000000001</v>
      </c>
      <c r="AM455" t="s">
        <v>357</v>
      </c>
      <c r="AN455">
        <v>-101.09647</v>
      </c>
      <c r="AQ455" t="s">
        <v>129</v>
      </c>
      <c r="AR455">
        <v>76</v>
      </c>
      <c r="AS455">
        <v>-38</v>
      </c>
      <c r="AT455">
        <v>192</v>
      </c>
      <c r="BB455" t="str">
        <f t="shared" si="57"/>
        <v>1200</v>
      </c>
      <c r="BC455">
        <v>1</v>
      </c>
      <c r="BD455" t="str">
        <f t="shared" si="52"/>
        <v xml:space="preserve">N745MB  </v>
      </c>
      <c r="BE455">
        <v>1</v>
      </c>
      <c r="BG455">
        <v>0</v>
      </c>
      <c r="BH455">
        <v>0</v>
      </c>
      <c r="BI455">
        <v>0</v>
      </c>
      <c r="BL455" t="s">
        <v>130</v>
      </c>
      <c r="BM455">
        <v>1</v>
      </c>
      <c r="BN455">
        <v>0</v>
      </c>
      <c r="BO455">
        <v>0</v>
      </c>
      <c r="BP455">
        <v>0</v>
      </c>
      <c r="BT455">
        <v>0</v>
      </c>
      <c r="BU455">
        <v>0</v>
      </c>
      <c r="CE455" t="str">
        <f>"20:22:06.542"</f>
        <v>20:22:06.542</v>
      </c>
      <c r="CF455">
        <v>541937909</v>
      </c>
      <c r="CS455">
        <v>0</v>
      </c>
      <c r="CT455">
        <v>2</v>
      </c>
      <c r="CU455">
        <v>0</v>
      </c>
      <c r="CV455">
        <v>2</v>
      </c>
      <c r="CW455">
        <v>0</v>
      </c>
      <c r="CX455">
        <v>3</v>
      </c>
      <c r="CY455">
        <v>7</v>
      </c>
      <c r="CZ455" t="s">
        <v>131</v>
      </c>
      <c r="DA455">
        <v>116</v>
      </c>
      <c r="DB455">
        <v>3</v>
      </c>
      <c r="DC455" t="s">
        <v>132</v>
      </c>
      <c r="DD455" t="s">
        <v>133</v>
      </c>
      <c r="DG455">
        <v>8287088</v>
      </c>
      <c r="DI455">
        <v>0</v>
      </c>
      <c r="DJ455">
        <v>0</v>
      </c>
      <c r="DK455">
        <v>1</v>
      </c>
      <c r="DL455">
        <v>0</v>
      </c>
      <c r="DM455">
        <v>0</v>
      </c>
      <c r="DN455">
        <v>0</v>
      </c>
      <c r="DO455">
        <v>0</v>
      </c>
      <c r="DP455">
        <v>1</v>
      </c>
      <c r="DQ455">
        <v>0</v>
      </c>
      <c r="DR455">
        <v>0</v>
      </c>
      <c r="DS455">
        <v>0</v>
      </c>
    </row>
    <row r="456" spans="1:123" x14ac:dyDescent="0.25">
      <c r="A456" t="str">
        <f>"11/29/2023 20:22:08.320"</f>
        <v>11/29/2023 20:22:08.320</v>
      </c>
      <c r="C456" t="str">
        <f t="shared" si="58"/>
        <v>FFDF53C0</v>
      </c>
      <c r="D456" t="s">
        <v>123</v>
      </c>
      <c r="E456">
        <v>14</v>
      </c>
      <c r="F456">
        <v>1014</v>
      </c>
      <c r="G456" t="s">
        <v>124</v>
      </c>
      <c r="J456" t="s">
        <v>125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"20:22:07.672"</f>
        <v>20:22:07.672</v>
      </c>
      <c r="T456" t="str">
        <f>"20:22:07.472"</f>
        <v>20:22:07.472</v>
      </c>
      <c r="U456" t="str">
        <f t="shared" si="56"/>
        <v>AA0632</v>
      </c>
      <c r="V456">
        <v>0</v>
      </c>
      <c r="W456">
        <v>0</v>
      </c>
      <c r="X456">
        <v>2</v>
      </c>
      <c r="Y456">
        <v>0</v>
      </c>
      <c r="AA456">
        <v>0</v>
      </c>
      <c r="AB456">
        <v>9</v>
      </c>
      <c r="AC456">
        <v>3</v>
      </c>
      <c r="AD456">
        <v>0</v>
      </c>
      <c r="AE456">
        <v>10</v>
      </c>
      <c r="AF456" t="s">
        <v>126</v>
      </c>
      <c r="AG456">
        <v>0</v>
      </c>
      <c r="AH456">
        <v>0</v>
      </c>
      <c r="AI456">
        <v>2</v>
      </c>
      <c r="AJ456">
        <v>0</v>
      </c>
      <c r="AK456" t="s">
        <v>358</v>
      </c>
      <c r="AL456">
        <v>31.946224999999998</v>
      </c>
      <c r="AM456" t="s">
        <v>359</v>
      </c>
      <c r="AN456">
        <v>-101.09602</v>
      </c>
      <c r="AQ456" t="s">
        <v>129</v>
      </c>
      <c r="AR456">
        <v>75</v>
      </c>
      <c r="AS456">
        <v>-38</v>
      </c>
      <c r="AT456">
        <v>320</v>
      </c>
      <c r="BB456" t="str">
        <f t="shared" si="57"/>
        <v>1200</v>
      </c>
      <c r="BC456">
        <v>1</v>
      </c>
      <c r="BD456" t="str">
        <f t="shared" si="52"/>
        <v xml:space="preserve">N745MB  </v>
      </c>
      <c r="BE456">
        <v>1</v>
      </c>
      <c r="BG456">
        <v>0</v>
      </c>
      <c r="BH456">
        <v>0</v>
      </c>
      <c r="BI456">
        <v>0</v>
      </c>
      <c r="BL456" t="s">
        <v>130</v>
      </c>
      <c r="BM456">
        <v>1</v>
      </c>
      <c r="BN456">
        <v>0</v>
      </c>
      <c r="BO456">
        <v>0</v>
      </c>
      <c r="BP456">
        <v>0</v>
      </c>
      <c r="BT456">
        <v>0</v>
      </c>
      <c r="BU456">
        <v>0</v>
      </c>
      <c r="CE456" t="str">
        <f>"20:22:07.674"</f>
        <v>20:22:07.674</v>
      </c>
      <c r="CF456">
        <v>673860976</v>
      </c>
      <c r="CS456">
        <v>0</v>
      </c>
      <c r="CT456">
        <v>2</v>
      </c>
      <c r="CU456">
        <v>0</v>
      </c>
      <c r="CV456">
        <v>2</v>
      </c>
      <c r="CW456">
        <v>0</v>
      </c>
      <c r="CX456">
        <v>3</v>
      </c>
      <c r="CY456">
        <v>7</v>
      </c>
      <c r="CZ456" t="s">
        <v>131</v>
      </c>
      <c r="DA456">
        <v>116</v>
      </c>
      <c r="DB456">
        <v>3</v>
      </c>
      <c r="DC456" t="s">
        <v>132</v>
      </c>
      <c r="DD456" t="s">
        <v>133</v>
      </c>
      <c r="DG456">
        <v>8287660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1</v>
      </c>
      <c r="DQ456">
        <v>0</v>
      </c>
      <c r="DR456">
        <v>0</v>
      </c>
      <c r="DS456">
        <v>0</v>
      </c>
    </row>
    <row r="457" spans="1:123" x14ac:dyDescent="0.25">
      <c r="A457" t="str">
        <f>"11/29/2023 20:22:08.320"</f>
        <v>11/29/2023 20:22:08.320</v>
      </c>
      <c r="C457" t="str">
        <f t="shared" si="58"/>
        <v>FFDF53C0</v>
      </c>
      <c r="D457" t="s">
        <v>138</v>
      </c>
      <c r="E457">
        <v>3</v>
      </c>
      <c r="H457">
        <v>160</v>
      </c>
      <c r="I457" t="s">
        <v>124</v>
      </c>
      <c r="J457" t="s">
        <v>139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"20:22:07.672"</f>
        <v>20:22:07.672</v>
      </c>
      <c r="T457" t="str">
        <f>"20:22:07.472"</f>
        <v>20:22:07.472</v>
      </c>
      <c r="U457" t="str">
        <f t="shared" si="56"/>
        <v>AA0632</v>
      </c>
      <c r="V457">
        <v>0</v>
      </c>
      <c r="W457">
        <v>0</v>
      </c>
      <c r="X457">
        <v>2</v>
      </c>
      <c r="Y457">
        <v>0</v>
      </c>
      <c r="AA457">
        <v>0</v>
      </c>
      <c r="AB457">
        <v>9</v>
      </c>
      <c r="AC457">
        <v>3</v>
      </c>
      <c r="AD457">
        <v>0</v>
      </c>
      <c r="AE457">
        <v>10</v>
      </c>
      <c r="AF457" t="s">
        <v>126</v>
      </c>
      <c r="AG457">
        <v>0</v>
      </c>
      <c r="AH457">
        <v>0</v>
      </c>
      <c r="AI457">
        <v>2</v>
      </c>
      <c r="AJ457">
        <v>0</v>
      </c>
      <c r="AK457" t="s">
        <v>358</v>
      </c>
      <c r="AL457">
        <v>31.946224999999998</v>
      </c>
      <c r="AM457" t="s">
        <v>359</v>
      </c>
      <c r="AN457">
        <v>-101.09602</v>
      </c>
      <c r="AQ457" t="s">
        <v>129</v>
      </c>
      <c r="AR457">
        <v>75</v>
      </c>
      <c r="AS457">
        <v>-38</v>
      </c>
      <c r="AT457">
        <v>320</v>
      </c>
      <c r="BB457" t="str">
        <f t="shared" si="57"/>
        <v>1200</v>
      </c>
      <c r="BC457">
        <v>1</v>
      </c>
      <c r="BD457" t="str">
        <f t="shared" si="52"/>
        <v xml:space="preserve">N745MB  </v>
      </c>
      <c r="BE457">
        <v>1</v>
      </c>
      <c r="BG457">
        <v>0</v>
      </c>
      <c r="BH457">
        <v>0</v>
      </c>
      <c r="BI457">
        <v>0</v>
      </c>
      <c r="BL457" t="s">
        <v>130</v>
      </c>
      <c r="BM457">
        <v>1</v>
      </c>
      <c r="BN457">
        <v>0</v>
      </c>
      <c r="BO457">
        <v>0</v>
      </c>
      <c r="BP457">
        <v>0</v>
      </c>
      <c r="BT457">
        <v>0</v>
      </c>
      <c r="BU457">
        <v>0</v>
      </c>
      <c r="CE457" t="str">
        <f>"20:22:07.674"</f>
        <v>20:22:07.674</v>
      </c>
      <c r="CF457">
        <v>673860976</v>
      </c>
      <c r="CS457">
        <v>0</v>
      </c>
      <c r="CT457">
        <v>2</v>
      </c>
      <c r="CU457">
        <v>0</v>
      </c>
      <c r="CV457">
        <v>2</v>
      </c>
      <c r="CW457">
        <v>0</v>
      </c>
      <c r="CX457">
        <v>3</v>
      </c>
      <c r="CY457">
        <v>7</v>
      </c>
      <c r="CZ457" t="s">
        <v>131</v>
      </c>
      <c r="DA457">
        <v>116</v>
      </c>
      <c r="DB457">
        <v>3</v>
      </c>
      <c r="DC457" t="s">
        <v>132</v>
      </c>
      <c r="DD457" t="s">
        <v>133</v>
      </c>
      <c r="DG457">
        <v>8287660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1</v>
      </c>
      <c r="DQ457">
        <v>0</v>
      </c>
      <c r="DR457">
        <v>0</v>
      </c>
      <c r="DS457">
        <v>0</v>
      </c>
    </row>
    <row r="458" spans="1:123" x14ac:dyDescent="0.25">
      <c r="A458" t="str">
        <f>"11/29/2023 20:22:08.320"</f>
        <v>11/29/2023 20:22:08.320</v>
      </c>
      <c r="C458" t="str">
        <f t="shared" si="58"/>
        <v>FFDF53C0</v>
      </c>
      <c r="D458" t="s">
        <v>135</v>
      </c>
      <c r="E458">
        <v>31</v>
      </c>
      <c r="H458">
        <v>285</v>
      </c>
      <c r="I458" t="s">
        <v>136</v>
      </c>
      <c r="J458" t="s">
        <v>137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"20:22:07.672"</f>
        <v>20:22:07.672</v>
      </c>
      <c r="T458" t="str">
        <f>"20:22:07.472"</f>
        <v>20:22:07.472</v>
      </c>
      <c r="U458" t="str">
        <f t="shared" si="56"/>
        <v>AA0632</v>
      </c>
      <c r="V458">
        <v>0</v>
      </c>
      <c r="W458">
        <v>0</v>
      </c>
      <c r="X458">
        <v>2</v>
      </c>
      <c r="Y458">
        <v>0</v>
      </c>
      <c r="AA458">
        <v>0</v>
      </c>
      <c r="AB458">
        <v>9</v>
      </c>
      <c r="AC458">
        <v>3</v>
      </c>
      <c r="AD458">
        <v>0</v>
      </c>
      <c r="AE458">
        <v>10</v>
      </c>
      <c r="AF458" t="s">
        <v>126</v>
      </c>
      <c r="AG458">
        <v>0</v>
      </c>
      <c r="AH458">
        <v>0</v>
      </c>
      <c r="AI458">
        <v>2</v>
      </c>
      <c r="AJ458">
        <v>0</v>
      </c>
      <c r="AK458" t="s">
        <v>358</v>
      </c>
      <c r="AL458">
        <v>31.946224999999998</v>
      </c>
      <c r="AM458" t="s">
        <v>359</v>
      </c>
      <c r="AN458">
        <v>-101.09602</v>
      </c>
      <c r="AQ458" t="s">
        <v>129</v>
      </c>
      <c r="AR458">
        <v>75</v>
      </c>
      <c r="AS458">
        <v>-38</v>
      </c>
      <c r="AT458">
        <v>320</v>
      </c>
      <c r="BB458" t="str">
        <f t="shared" si="57"/>
        <v>1200</v>
      </c>
      <c r="BC458">
        <v>1</v>
      </c>
      <c r="BD458" t="str">
        <f t="shared" si="52"/>
        <v xml:space="preserve">N745MB  </v>
      </c>
      <c r="BE458">
        <v>1</v>
      </c>
      <c r="BG458">
        <v>0</v>
      </c>
      <c r="BH458">
        <v>0</v>
      </c>
      <c r="BI458">
        <v>0</v>
      </c>
      <c r="BL458" t="s">
        <v>130</v>
      </c>
      <c r="BM458">
        <v>1</v>
      </c>
      <c r="BN458">
        <v>0</v>
      </c>
      <c r="BO458">
        <v>0</v>
      </c>
      <c r="BP458">
        <v>0</v>
      </c>
      <c r="BT458">
        <v>0</v>
      </c>
      <c r="BU458">
        <v>0</v>
      </c>
      <c r="CE458" t="str">
        <f>"20:22:07.674"</f>
        <v>20:22:07.674</v>
      </c>
      <c r="CF458">
        <v>673860976</v>
      </c>
      <c r="CS458">
        <v>0</v>
      </c>
      <c r="CT458">
        <v>2</v>
      </c>
      <c r="CU458">
        <v>0</v>
      </c>
      <c r="CV458">
        <v>2</v>
      </c>
      <c r="CW458">
        <v>0</v>
      </c>
      <c r="CX458">
        <v>3</v>
      </c>
      <c r="CY458">
        <v>7</v>
      </c>
      <c r="CZ458" t="s">
        <v>131</v>
      </c>
      <c r="DA458">
        <v>116</v>
      </c>
      <c r="DB458">
        <v>3</v>
      </c>
      <c r="DC458" t="s">
        <v>132</v>
      </c>
      <c r="DD458" t="s">
        <v>133</v>
      </c>
      <c r="DG458">
        <v>8287660</v>
      </c>
      <c r="DI458">
        <v>0</v>
      </c>
      <c r="DJ458">
        <v>0</v>
      </c>
      <c r="DK458">
        <v>1</v>
      </c>
      <c r="DL458">
        <v>0</v>
      </c>
      <c r="DM458">
        <v>0</v>
      </c>
      <c r="DN458">
        <v>0</v>
      </c>
      <c r="DO458">
        <v>0</v>
      </c>
      <c r="DP458">
        <v>1</v>
      </c>
      <c r="DQ458">
        <v>0</v>
      </c>
      <c r="DR458">
        <v>0</v>
      </c>
      <c r="DS458">
        <v>0</v>
      </c>
    </row>
    <row r="459" spans="1:123" x14ac:dyDescent="0.25">
      <c r="A459" t="str">
        <f>"11/29/2023 20:22:08.320"</f>
        <v>11/29/2023 20:22:08.320</v>
      </c>
      <c r="C459" t="str">
        <f t="shared" si="58"/>
        <v>FFDF53C0</v>
      </c>
      <c r="D459" t="s">
        <v>123</v>
      </c>
      <c r="E459">
        <v>1</v>
      </c>
      <c r="F459">
        <v>1001</v>
      </c>
      <c r="G459" t="s">
        <v>134</v>
      </c>
      <c r="J459" t="s">
        <v>125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"20:22:07.672"</f>
        <v>20:22:07.672</v>
      </c>
      <c r="T459" t="str">
        <f>"20:22:07.472"</f>
        <v>20:22:07.472</v>
      </c>
      <c r="U459" t="str">
        <f t="shared" si="56"/>
        <v>AA0632</v>
      </c>
      <c r="V459">
        <v>0</v>
      </c>
      <c r="W459">
        <v>0</v>
      </c>
      <c r="X459">
        <v>2</v>
      </c>
      <c r="Y459">
        <v>0</v>
      </c>
      <c r="AA459">
        <v>0</v>
      </c>
      <c r="AB459">
        <v>9</v>
      </c>
      <c r="AC459">
        <v>3</v>
      </c>
      <c r="AD459">
        <v>0</v>
      </c>
      <c r="AE459">
        <v>10</v>
      </c>
      <c r="AF459" t="s">
        <v>126</v>
      </c>
      <c r="AG459">
        <v>0</v>
      </c>
      <c r="AH459">
        <v>0</v>
      </c>
      <c r="AI459">
        <v>2</v>
      </c>
      <c r="AJ459">
        <v>0</v>
      </c>
      <c r="AK459" t="s">
        <v>358</v>
      </c>
      <c r="AL459">
        <v>31.946224999999998</v>
      </c>
      <c r="AM459" t="s">
        <v>359</v>
      </c>
      <c r="AN459">
        <v>-101.09602</v>
      </c>
      <c r="AQ459" t="s">
        <v>129</v>
      </c>
      <c r="AR459">
        <v>75</v>
      </c>
      <c r="AS459">
        <v>-38</v>
      </c>
      <c r="AT459">
        <v>320</v>
      </c>
      <c r="BB459" t="str">
        <f t="shared" si="57"/>
        <v>1200</v>
      </c>
      <c r="BC459">
        <v>1</v>
      </c>
      <c r="BD459" t="str">
        <f t="shared" si="52"/>
        <v xml:space="preserve">N745MB  </v>
      </c>
      <c r="BE459">
        <v>1</v>
      </c>
      <c r="BG459">
        <v>0</v>
      </c>
      <c r="BH459">
        <v>0</v>
      </c>
      <c r="BI459">
        <v>0</v>
      </c>
      <c r="BL459" t="s">
        <v>130</v>
      </c>
      <c r="BM459">
        <v>1</v>
      </c>
      <c r="BN459">
        <v>0</v>
      </c>
      <c r="BO459">
        <v>0</v>
      </c>
      <c r="BP459">
        <v>0</v>
      </c>
      <c r="BT459">
        <v>0</v>
      </c>
      <c r="BU459">
        <v>0</v>
      </c>
      <c r="CE459" t="str">
        <f>"20:22:07.674"</f>
        <v>20:22:07.674</v>
      </c>
      <c r="CF459">
        <v>673860976</v>
      </c>
      <c r="CS459">
        <v>0</v>
      </c>
      <c r="CT459">
        <v>2</v>
      </c>
      <c r="CU459">
        <v>0</v>
      </c>
      <c r="CV459">
        <v>2</v>
      </c>
      <c r="CW459">
        <v>0</v>
      </c>
      <c r="CX459">
        <v>3</v>
      </c>
      <c r="CY459">
        <v>7</v>
      </c>
      <c r="CZ459" t="s">
        <v>131</v>
      </c>
      <c r="DA459">
        <v>116</v>
      </c>
      <c r="DB459">
        <v>3</v>
      </c>
      <c r="DC459" t="s">
        <v>132</v>
      </c>
      <c r="DD459" t="s">
        <v>133</v>
      </c>
      <c r="DG459">
        <v>8287660</v>
      </c>
      <c r="DI459">
        <v>0</v>
      </c>
      <c r="DJ459">
        <v>0</v>
      </c>
      <c r="DK459">
        <v>1</v>
      </c>
      <c r="DL459">
        <v>0</v>
      </c>
      <c r="DM459">
        <v>0</v>
      </c>
      <c r="DN459">
        <v>0</v>
      </c>
      <c r="DO459">
        <v>0</v>
      </c>
      <c r="DP459">
        <v>1</v>
      </c>
      <c r="DQ459">
        <v>0</v>
      </c>
      <c r="DR459">
        <v>0</v>
      </c>
      <c r="DS459">
        <v>0</v>
      </c>
    </row>
    <row r="460" spans="1:123" x14ac:dyDescent="0.25">
      <c r="A460" t="str">
        <f>"11/29/2023 20:22:09.148"</f>
        <v>11/29/2023 20:22:09.148</v>
      </c>
      <c r="C460" t="str">
        <f t="shared" si="58"/>
        <v>FFDF53C0</v>
      </c>
      <c r="D460" t="s">
        <v>123</v>
      </c>
      <c r="E460">
        <v>14</v>
      </c>
      <c r="F460">
        <v>1014</v>
      </c>
      <c r="G460" t="s">
        <v>124</v>
      </c>
      <c r="J460" t="s">
        <v>125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"20:22:08.594"</f>
        <v>20:22:08.594</v>
      </c>
      <c r="T460" t="str">
        <f>"20:22:08.394"</f>
        <v>20:22:08.394</v>
      </c>
      <c r="U460" t="str">
        <f t="shared" si="56"/>
        <v>AA0632</v>
      </c>
      <c r="V460">
        <v>0</v>
      </c>
      <c r="W460">
        <v>0</v>
      </c>
      <c r="X460">
        <v>2</v>
      </c>
      <c r="Y460">
        <v>0</v>
      </c>
      <c r="AA460">
        <v>0</v>
      </c>
      <c r="AB460">
        <v>9</v>
      </c>
      <c r="AC460">
        <v>3</v>
      </c>
      <c r="AD460">
        <v>0</v>
      </c>
      <c r="AE460">
        <v>10</v>
      </c>
      <c r="AF460" t="s">
        <v>126</v>
      </c>
      <c r="AG460">
        <v>0</v>
      </c>
      <c r="AH460">
        <v>0</v>
      </c>
      <c r="AI460">
        <v>2</v>
      </c>
      <c r="AJ460">
        <v>0</v>
      </c>
      <c r="AK460" t="s">
        <v>360</v>
      </c>
      <c r="AL460">
        <v>31.946054</v>
      </c>
      <c r="AM460" t="s">
        <v>361</v>
      </c>
      <c r="AN460">
        <v>-101.095634</v>
      </c>
      <c r="AQ460" t="s">
        <v>129</v>
      </c>
      <c r="AR460">
        <v>74</v>
      </c>
      <c r="AS460">
        <v>-39</v>
      </c>
      <c r="AT460">
        <v>256</v>
      </c>
      <c r="BB460" t="str">
        <f t="shared" si="57"/>
        <v>1200</v>
      </c>
      <c r="BC460">
        <v>1</v>
      </c>
      <c r="BD460" t="str">
        <f t="shared" si="52"/>
        <v xml:space="preserve">N745MB  </v>
      </c>
      <c r="BE460">
        <v>1</v>
      </c>
      <c r="BG460">
        <v>0</v>
      </c>
      <c r="BH460">
        <v>0</v>
      </c>
      <c r="BI460">
        <v>0</v>
      </c>
      <c r="BL460" t="s">
        <v>130</v>
      </c>
      <c r="BM460">
        <v>1</v>
      </c>
      <c r="BN460">
        <v>0</v>
      </c>
      <c r="BO460">
        <v>0</v>
      </c>
      <c r="BP460">
        <v>0</v>
      </c>
      <c r="BT460">
        <v>0</v>
      </c>
      <c r="BU460">
        <v>0</v>
      </c>
      <c r="CE460" t="str">
        <f>"20:22:08.598"</f>
        <v>20:22:08.598</v>
      </c>
      <c r="CF460">
        <v>597798431</v>
      </c>
      <c r="CS460">
        <v>0</v>
      </c>
      <c r="CT460">
        <v>2</v>
      </c>
      <c r="CU460">
        <v>0</v>
      </c>
      <c r="CV460">
        <v>2</v>
      </c>
      <c r="CW460">
        <v>0</v>
      </c>
      <c r="CX460">
        <v>2</v>
      </c>
      <c r="CY460">
        <v>7</v>
      </c>
      <c r="CZ460" t="s">
        <v>131</v>
      </c>
      <c r="DA460">
        <v>116</v>
      </c>
      <c r="DB460">
        <v>3</v>
      </c>
      <c r="DC460" t="s">
        <v>132</v>
      </c>
      <c r="DD460" t="s">
        <v>133</v>
      </c>
      <c r="DG460">
        <v>8288168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1</v>
      </c>
      <c r="DQ460">
        <v>0</v>
      </c>
      <c r="DR460">
        <v>0</v>
      </c>
      <c r="DS460">
        <v>0</v>
      </c>
    </row>
    <row r="461" spans="1:123" x14ac:dyDescent="0.25">
      <c r="A461" t="str">
        <f>"11/29/2023 20:22:09.148"</f>
        <v>11/29/2023 20:22:09.148</v>
      </c>
      <c r="C461" t="str">
        <f t="shared" si="58"/>
        <v>FFDF53C0</v>
      </c>
      <c r="D461" t="s">
        <v>138</v>
      </c>
      <c r="E461">
        <v>3</v>
      </c>
      <c r="H461">
        <v>160</v>
      </c>
      <c r="I461" t="s">
        <v>124</v>
      </c>
      <c r="J461" t="s">
        <v>139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"20:22:08.594"</f>
        <v>20:22:08.594</v>
      </c>
      <c r="T461" t="str">
        <f>"20:22:08.394"</f>
        <v>20:22:08.394</v>
      </c>
      <c r="U461" t="str">
        <f t="shared" si="56"/>
        <v>AA0632</v>
      </c>
      <c r="V461">
        <v>0</v>
      </c>
      <c r="W461">
        <v>0</v>
      </c>
      <c r="X461">
        <v>2</v>
      </c>
      <c r="Y461">
        <v>0</v>
      </c>
      <c r="AA461">
        <v>0</v>
      </c>
      <c r="AB461">
        <v>9</v>
      </c>
      <c r="AC461">
        <v>3</v>
      </c>
      <c r="AD461">
        <v>0</v>
      </c>
      <c r="AE461">
        <v>10</v>
      </c>
      <c r="AF461" t="s">
        <v>126</v>
      </c>
      <c r="AG461">
        <v>0</v>
      </c>
      <c r="AH461">
        <v>0</v>
      </c>
      <c r="AI461">
        <v>2</v>
      </c>
      <c r="AJ461">
        <v>0</v>
      </c>
      <c r="AK461" t="s">
        <v>360</v>
      </c>
      <c r="AL461">
        <v>31.946054</v>
      </c>
      <c r="AM461" t="s">
        <v>361</v>
      </c>
      <c r="AN461">
        <v>-101.095634</v>
      </c>
      <c r="AQ461" t="s">
        <v>129</v>
      </c>
      <c r="AR461">
        <v>74</v>
      </c>
      <c r="AS461">
        <v>-39</v>
      </c>
      <c r="AT461">
        <v>256</v>
      </c>
      <c r="BB461" t="str">
        <f t="shared" si="57"/>
        <v>1200</v>
      </c>
      <c r="BC461">
        <v>1</v>
      </c>
      <c r="BD461" t="str">
        <f t="shared" si="52"/>
        <v xml:space="preserve">N745MB  </v>
      </c>
      <c r="BE461">
        <v>1</v>
      </c>
      <c r="BG461">
        <v>0</v>
      </c>
      <c r="BH461">
        <v>0</v>
      </c>
      <c r="BI461">
        <v>0</v>
      </c>
      <c r="BL461" t="s">
        <v>130</v>
      </c>
      <c r="BM461">
        <v>1</v>
      </c>
      <c r="BN461">
        <v>0</v>
      </c>
      <c r="BO461">
        <v>0</v>
      </c>
      <c r="BP461">
        <v>0</v>
      </c>
      <c r="BT461">
        <v>0</v>
      </c>
      <c r="BU461">
        <v>0</v>
      </c>
      <c r="CE461" t="str">
        <f>"20:22:08.598"</f>
        <v>20:22:08.598</v>
      </c>
      <c r="CF461">
        <v>597798431</v>
      </c>
      <c r="CS461">
        <v>0</v>
      </c>
      <c r="CT461">
        <v>2</v>
      </c>
      <c r="CU461">
        <v>0</v>
      </c>
      <c r="CV461">
        <v>2</v>
      </c>
      <c r="CW461">
        <v>0</v>
      </c>
      <c r="CX461">
        <v>2</v>
      </c>
      <c r="CY461">
        <v>7</v>
      </c>
      <c r="CZ461" t="s">
        <v>131</v>
      </c>
      <c r="DA461">
        <v>116</v>
      </c>
      <c r="DB461">
        <v>3</v>
      </c>
      <c r="DC461" t="s">
        <v>132</v>
      </c>
      <c r="DD461" t="s">
        <v>133</v>
      </c>
      <c r="DG461">
        <v>8288168</v>
      </c>
      <c r="DI461">
        <v>0</v>
      </c>
      <c r="DJ461">
        <v>0</v>
      </c>
      <c r="DK461">
        <v>1</v>
      </c>
      <c r="DL461">
        <v>0</v>
      </c>
      <c r="DM461">
        <v>0</v>
      </c>
      <c r="DN461">
        <v>0</v>
      </c>
      <c r="DO461">
        <v>0</v>
      </c>
      <c r="DP461">
        <v>1</v>
      </c>
      <c r="DQ461">
        <v>0</v>
      </c>
      <c r="DR461">
        <v>0</v>
      </c>
      <c r="DS461">
        <v>0</v>
      </c>
    </row>
    <row r="462" spans="1:123" x14ac:dyDescent="0.25">
      <c r="A462" t="str">
        <f>"11/29/2023 20:22:10.086"</f>
        <v>11/29/2023 20:22:10.086</v>
      </c>
      <c r="C462" t="str">
        <f t="shared" si="58"/>
        <v>FFDF53C0</v>
      </c>
      <c r="D462" t="s">
        <v>123</v>
      </c>
      <c r="E462">
        <v>14</v>
      </c>
      <c r="F462">
        <v>1014</v>
      </c>
      <c r="G462" t="s">
        <v>124</v>
      </c>
      <c r="J462" t="s">
        <v>125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"20:22:09.570"</f>
        <v>20:22:09.570</v>
      </c>
      <c r="T462" t="str">
        <f>"20:22:09.270"</f>
        <v>20:22:09.270</v>
      </c>
      <c r="U462" t="str">
        <f t="shared" si="56"/>
        <v>AA0632</v>
      </c>
      <c r="V462">
        <v>0</v>
      </c>
      <c r="W462">
        <v>0</v>
      </c>
      <c r="X462">
        <v>2</v>
      </c>
      <c r="Y462">
        <v>0</v>
      </c>
      <c r="AA462">
        <v>0</v>
      </c>
      <c r="AB462">
        <v>9</v>
      </c>
      <c r="AC462">
        <v>3</v>
      </c>
      <c r="AD462">
        <v>0</v>
      </c>
      <c r="AE462">
        <v>10</v>
      </c>
      <c r="AF462" t="s">
        <v>126</v>
      </c>
      <c r="AG462">
        <v>0</v>
      </c>
      <c r="AH462">
        <v>0</v>
      </c>
      <c r="AI462">
        <v>2</v>
      </c>
      <c r="AJ462">
        <v>0</v>
      </c>
      <c r="AK462" t="s">
        <v>362</v>
      </c>
      <c r="AL462">
        <v>31.94586</v>
      </c>
      <c r="AM462" t="s">
        <v>363</v>
      </c>
      <c r="AN462">
        <v>-101.09529000000001</v>
      </c>
      <c r="AQ462" t="s">
        <v>129</v>
      </c>
      <c r="AR462">
        <v>74</v>
      </c>
      <c r="AS462">
        <v>-40</v>
      </c>
      <c r="AT462">
        <v>192</v>
      </c>
      <c r="BB462" t="str">
        <f t="shared" si="57"/>
        <v>1200</v>
      </c>
      <c r="BC462">
        <v>1</v>
      </c>
      <c r="BD462" t="str">
        <f t="shared" si="52"/>
        <v xml:space="preserve">N745MB  </v>
      </c>
      <c r="BE462">
        <v>1</v>
      </c>
      <c r="BG462">
        <v>0</v>
      </c>
      <c r="BH462">
        <v>0</v>
      </c>
      <c r="BI462">
        <v>0</v>
      </c>
      <c r="BL462" t="s">
        <v>130</v>
      </c>
      <c r="BM462">
        <v>1</v>
      </c>
      <c r="BN462">
        <v>0</v>
      </c>
      <c r="BO462">
        <v>0</v>
      </c>
      <c r="BP462">
        <v>0</v>
      </c>
      <c r="BT462">
        <v>0</v>
      </c>
      <c r="BU462">
        <v>0</v>
      </c>
      <c r="CE462" t="str">
        <f>"20:22:09.578"</f>
        <v>20:22:09.578</v>
      </c>
      <c r="CF462">
        <v>577729525</v>
      </c>
      <c r="CS462">
        <v>0</v>
      </c>
      <c r="CT462">
        <v>2</v>
      </c>
      <c r="CU462">
        <v>0</v>
      </c>
      <c r="CV462">
        <v>2</v>
      </c>
      <c r="CW462">
        <v>0</v>
      </c>
      <c r="CX462">
        <v>1</v>
      </c>
      <c r="CY462">
        <v>7</v>
      </c>
      <c r="CZ462" t="s">
        <v>131</v>
      </c>
      <c r="DA462">
        <v>116</v>
      </c>
      <c r="DB462">
        <v>3</v>
      </c>
      <c r="DC462" t="s">
        <v>132</v>
      </c>
      <c r="DD462" t="s">
        <v>133</v>
      </c>
      <c r="DG462">
        <v>8288654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1</v>
      </c>
      <c r="DQ462">
        <v>0</v>
      </c>
      <c r="DR462">
        <v>0</v>
      </c>
      <c r="DS462">
        <v>0</v>
      </c>
    </row>
    <row r="463" spans="1:123" x14ac:dyDescent="0.25">
      <c r="A463" t="str">
        <f>"11/29/2023 20:22:10.086"</f>
        <v>11/29/2023 20:22:10.086</v>
      </c>
      <c r="C463" t="str">
        <f t="shared" si="58"/>
        <v>FFDF53C0</v>
      </c>
      <c r="D463" t="s">
        <v>138</v>
      </c>
      <c r="E463">
        <v>3</v>
      </c>
      <c r="H463">
        <v>160</v>
      </c>
      <c r="I463" t="s">
        <v>124</v>
      </c>
      <c r="J463" t="s">
        <v>139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"20:22:09.570"</f>
        <v>20:22:09.570</v>
      </c>
      <c r="T463" t="str">
        <f>"20:22:09.270"</f>
        <v>20:22:09.270</v>
      </c>
      <c r="U463" t="str">
        <f t="shared" si="56"/>
        <v>AA0632</v>
      </c>
      <c r="V463">
        <v>0</v>
      </c>
      <c r="W463">
        <v>0</v>
      </c>
      <c r="X463">
        <v>2</v>
      </c>
      <c r="Y463">
        <v>0</v>
      </c>
      <c r="AA463">
        <v>0</v>
      </c>
      <c r="AB463">
        <v>9</v>
      </c>
      <c r="AC463">
        <v>3</v>
      </c>
      <c r="AD463">
        <v>0</v>
      </c>
      <c r="AE463">
        <v>10</v>
      </c>
      <c r="AF463" t="s">
        <v>126</v>
      </c>
      <c r="AG463">
        <v>0</v>
      </c>
      <c r="AH463">
        <v>0</v>
      </c>
      <c r="AI463">
        <v>2</v>
      </c>
      <c r="AJ463">
        <v>0</v>
      </c>
      <c r="AK463" t="s">
        <v>362</v>
      </c>
      <c r="AL463">
        <v>31.94586</v>
      </c>
      <c r="AM463" t="s">
        <v>363</v>
      </c>
      <c r="AN463">
        <v>-101.09529000000001</v>
      </c>
      <c r="AQ463" t="s">
        <v>129</v>
      </c>
      <c r="AR463">
        <v>74</v>
      </c>
      <c r="AS463">
        <v>-40</v>
      </c>
      <c r="AT463">
        <v>192</v>
      </c>
      <c r="BB463" t="str">
        <f t="shared" si="57"/>
        <v>1200</v>
      </c>
      <c r="BC463">
        <v>1</v>
      </c>
      <c r="BD463" t="str">
        <f t="shared" si="52"/>
        <v xml:space="preserve">N745MB  </v>
      </c>
      <c r="BE463">
        <v>1</v>
      </c>
      <c r="BG463">
        <v>0</v>
      </c>
      <c r="BH463">
        <v>0</v>
      </c>
      <c r="BI463">
        <v>0</v>
      </c>
      <c r="BL463" t="s">
        <v>130</v>
      </c>
      <c r="BM463">
        <v>1</v>
      </c>
      <c r="BN463">
        <v>0</v>
      </c>
      <c r="BO463">
        <v>0</v>
      </c>
      <c r="BP463">
        <v>0</v>
      </c>
      <c r="BT463">
        <v>0</v>
      </c>
      <c r="BU463">
        <v>0</v>
      </c>
      <c r="CE463" t="str">
        <f>"20:22:09.578"</f>
        <v>20:22:09.578</v>
      </c>
      <c r="CF463">
        <v>577729525</v>
      </c>
      <c r="CS463">
        <v>0</v>
      </c>
      <c r="CT463">
        <v>2</v>
      </c>
      <c r="CU463">
        <v>0</v>
      </c>
      <c r="CV463">
        <v>2</v>
      </c>
      <c r="CW463">
        <v>0</v>
      </c>
      <c r="CX463">
        <v>1</v>
      </c>
      <c r="CY463">
        <v>7</v>
      </c>
      <c r="CZ463" t="s">
        <v>131</v>
      </c>
      <c r="DA463">
        <v>116</v>
      </c>
      <c r="DB463">
        <v>3</v>
      </c>
      <c r="DC463" t="s">
        <v>132</v>
      </c>
      <c r="DD463" t="s">
        <v>133</v>
      </c>
      <c r="DG463">
        <v>8288654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1</v>
      </c>
      <c r="DQ463">
        <v>0</v>
      </c>
      <c r="DR463">
        <v>0</v>
      </c>
      <c r="DS463">
        <v>0</v>
      </c>
    </row>
    <row r="464" spans="1:123" x14ac:dyDescent="0.25">
      <c r="A464" t="str">
        <f>"11/29/2023 20:22:10.195"</f>
        <v>11/29/2023 20:22:10.195</v>
      </c>
      <c r="C464" t="str">
        <f t="shared" si="58"/>
        <v>FFDF53C0</v>
      </c>
      <c r="D464" t="s">
        <v>123</v>
      </c>
      <c r="E464">
        <v>1</v>
      </c>
      <c r="F464">
        <v>1001</v>
      </c>
      <c r="G464" t="s">
        <v>134</v>
      </c>
      <c r="J464" t="s">
        <v>125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"20:22:09.570"</f>
        <v>20:22:09.570</v>
      </c>
      <c r="T464" t="str">
        <f>"20:22:09.270"</f>
        <v>20:22:09.270</v>
      </c>
      <c r="U464" t="str">
        <f t="shared" si="56"/>
        <v>AA0632</v>
      </c>
      <c r="V464">
        <v>0</v>
      </c>
      <c r="W464">
        <v>0</v>
      </c>
      <c r="X464">
        <v>2</v>
      </c>
      <c r="Y464">
        <v>0</v>
      </c>
      <c r="AA464">
        <v>0</v>
      </c>
      <c r="AB464">
        <v>9</v>
      </c>
      <c r="AC464">
        <v>3</v>
      </c>
      <c r="AD464">
        <v>0</v>
      </c>
      <c r="AE464">
        <v>10</v>
      </c>
      <c r="AF464" t="s">
        <v>126</v>
      </c>
      <c r="AG464">
        <v>0</v>
      </c>
      <c r="AH464">
        <v>0</v>
      </c>
      <c r="AI464">
        <v>2</v>
      </c>
      <c r="AJ464">
        <v>0</v>
      </c>
      <c r="AK464" t="s">
        <v>362</v>
      </c>
      <c r="AL464">
        <v>31.94586</v>
      </c>
      <c r="AM464" t="s">
        <v>363</v>
      </c>
      <c r="AN464">
        <v>-101.09529000000001</v>
      </c>
      <c r="AQ464" t="s">
        <v>129</v>
      </c>
      <c r="AR464">
        <v>74</v>
      </c>
      <c r="AS464">
        <v>-40</v>
      </c>
      <c r="AT464">
        <v>192</v>
      </c>
      <c r="BB464" t="str">
        <f t="shared" si="57"/>
        <v>1200</v>
      </c>
      <c r="BC464">
        <v>1</v>
      </c>
      <c r="BD464" t="str">
        <f t="shared" si="52"/>
        <v xml:space="preserve">N745MB  </v>
      </c>
      <c r="BE464">
        <v>1</v>
      </c>
      <c r="BG464">
        <v>0</v>
      </c>
      <c r="BH464">
        <v>0</v>
      </c>
      <c r="BI464">
        <v>0</v>
      </c>
      <c r="BL464" t="s">
        <v>130</v>
      </c>
      <c r="BM464">
        <v>1</v>
      </c>
      <c r="BN464">
        <v>0</v>
      </c>
      <c r="BO464">
        <v>0</v>
      </c>
      <c r="BP464">
        <v>0</v>
      </c>
      <c r="BT464">
        <v>0</v>
      </c>
      <c r="BU464">
        <v>0</v>
      </c>
      <c r="CE464" t="str">
        <f>"20:22:09.578"</f>
        <v>20:22:09.578</v>
      </c>
      <c r="CF464">
        <v>577729525</v>
      </c>
      <c r="CS464">
        <v>0</v>
      </c>
      <c r="CT464">
        <v>2</v>
      </c>
      <c r="CU464">
        <v>0</v>
      </c>
      <c r="CV464">
        <v>2</v>
      </c>
      <c r="CW464">
        <v>0</v>
      </c>
      <c r="CX464">
        <v>1</v>
      </c>
      <c r="CY464">
        <v>7</v>
      </c>
      <c r="CZ464" t="s">
        <v>131</v>
      </c>
      <c r="DA464">
        <v>116</v>
      </c>
      <c r="DB464">
        <v>3</v>
      </c>
      <c r="DC464" t="s">
        <v>132</v>
      </c>
      <c r="DD464" t="s">
        <v>133</v>
      </c>
      <c r="DG464">
        <v>8288654</v>
      </c>
      <c r="DI464">
        <v>0</v>
      </c>
      <c r="DJ464">
        <v>0</v>
      </c>
      <c r="DK464">
        <v>1</v>
      </c>
      <c r="DL464">
        <v>0</v>
      </c>
      <c r="DM464">
        <v>0</v>
      </c>
      <c r="DN464">
        <v>0</v>
      </c>
      <c r="DO464">
        <v>0</v>
      </c>
      <c r="DP464">
        <v>1</v>
      </c>
      <c r="DQ464">
        <v>0</v>
      </c>
      <c r="DR464">
        <v>0</v>
      </c>
      <c r="DS464">
        <v>0</v>
      </c>
    </row>
    <row r="465" spans="1:123" x14ac:dyDescent="0.25">
      <c r="A465" t="str">
        <f>"11/29/2023 20:22:10.195"</f>
        <v>11/29/2023 20:22:10.195</v>
      </c>
      <c r="C465" t="str">
        <f t="shared" si="58"/>
        <v>FFDF53C0</v>
      </c>
      <c r="D465" t="s">
        <v>135</v>
      </c>
      <c r="E465">
        <v>31</v>
      </c>
      <c r="H465">
        <v>285</v>
      </c>
      <c r="I465" t="s">
        <v>136</v>
      </c>
      <c r="J465" t="s">
        <v>137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"20:22:09.570"</f>
        <v>20:22:09.570</v>
      </c>
      <c r="T465" t="str">
        <f>"20:22:09.270"</f>
        <v>20:22:09.270</v>
      </c>
      <c r="U465" t="str">
        <f t="shared" si="56"/>
        <v>AA0632</v>
      </c>
      <c r="V465">
        <v>0</v>
      </c>
      <c r="W465">
        <v>0</v>
      </c>
      <c r="X465">
        <v>2</v>
      </c>
      <c r="Y465">
        <v>0</v>
      </c>
      <c r="AA465">
        <v>0</v>
      </c>
      <c r="AB465">
        <v>9</v>
      </c>
      <c r="AC465">
        <v>3</v>
      </c>
      <c r="AD465">
        <v>0</v>
      </c>
      <c r="AE465">
        <v>10</v>
      </c>
      <c r="AF465" t="s">
        <v>126</v>
      </c>
      <c r="AG465">
        <v>0</v>
      </c>
      <c r="AH465">
        <v>0</v>
      </c>
      <c r="AI465">
        <v>2</v>
      </c>
      <c r="AJ465">
        <v>0</v>
      </c>
      <c r="AK465" t="s">
        <v>362</v>
      </c>
      <c r="AL465">
        <v>31.94586</v>
      </c>
      <c r="AM465" t="s">
        <v>363</v>
      </c>
      <c r="AN465">
        <v>-101.09529000000001</v>
      </c>
      <c r="AQ465" t="s">
        <v>129</v>
      </c>
      <c r="AR465">
        <v>74</v>
      </c>
      <c r="AS465">
        <v>-40</v>
      </c>
      <c r="AT465">
        <v>192</v>
      </c>
      <c r="BB465" t="str">
        <f t="shared" si="57"/>
        <v>1200</v>
      </c>
      <c r="BC465">
        <v>1</v>
      </c>
      <c r="BD465" t="str">
        <f t="shared" si="52"/>
        <v xml:space="preserve">N745MB  </v>
      </c>
      <c r="BE465">
        <v>1</v>
      </c>
      <c r="BG465">
        <v>0</v>
      </c>
      <c r="BH465">
        <v>0</v>
      </c>
      <c r="BI465">
        <v>0</v>
      </c>
      <c r="BL465" t="s">
        <v>130</v>
      </c>
      <c r="BM465">
        <v>1</v>
      </c>
      <c r="BN465">
        <v>0</v>
      </c>
      <c r="BO465">
        <v>0</v>
      </c>
      <c r="BP465">
        <v>0</v>
      </c>
      <c r="BT465">
        <v>0</v>
      </c>
      <c r="BU465">
        <v>0</v>
      </c>
      <c r="CE465" t="str">
        <f>"20:22:09.578"</f>
        <v>20:22:09.578</v>
      </c>
      <c r="CF465">
        <v>577729525</v>
      </c>
      <c r="CS465">
        <v>0</v>
      </c>
      <c r="CT465">
        <v>2</v>
      </c>
      <c r="CU465">
        <v>0</v>
      </c>
      <c r="CV465">
        <v>2</v>
      </c>
      <c r="CW465">
        <v>0</v>
      </c>
      <c r="CX465">
        <v>1</v>
      </c>
      <c r="CY465">
        <v>7</v>
      </c>
      <c r="CZ465" t="s">
        <v>131</v>
      </c>
      <c r="DA465">
        <v>116</v>
      </c>
      <c r="DB465">
        <v>3</v>
      </c>
      <c r="DC465" t="s">
        <v>132</v>
      </c>
      <c r="DD465" t="s">
        <v>133</v>
      </c>
      <c r="DG465">
        <v>8288654</v>
      </c>
      <c r="DI465">
        <v>0</v>
      </c>
      <c r="DJ465">
        <v>0</v>
      </c>
      <c r="DK465">
        <v>1</v>
      </c>
      <c r="DL465">
        <v>0</v>
      </c>
      <c r="DM465">
        <v>0</v>
      </c>
      <c r="DN465">
        <v>0</v>
      </c>
      <c r="DO465">
        <v>0</v>
      </c>
      <c r="DP465">
        <v>1</v>
      </c>
      <c r="DQ465">
        <v>0</v>
      </c>
      <c r="DR465">
        <v>0</v>
      </c>
      <c r="DS465">
        <v>0</v>
      </c>
    </row>
    <row r="466" spans="1:123" x14ac:dyDescent="0.25">
      <c r="A466" t="str">
        <f>"11/29/2023 20:22:11.117"</f>
        <v>11/29/2023 20:22:11.117</v>
      </c>
      <c r="C466" t="str">
        <f t="shared" si="58"/>
        <v>FFDF53C0</v>
      </c>
      <c r="D466" t="s">
        <v>135</v>
      </c>
      <c r="E466">
        <v>31</v>
      </c>
      <c r="H466">
        <v>285</v>
      </c>
      <c r="I466" t="s">
        <v>136</v>
      </c>
      <c r="J466" t="s">
        <v>137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"20:22:10.516"</f>
        <v>20:22:10.516</v>
      </c>
      <c r="T466" t="str">
        <f>"20:22:09.316"</f>
        <v>20:22:09.316</v>
      </c>
      <c r="U466" t="str">
        <f t="shared" si="56"/>
        <v>AA0632</v>
      </c>
      <c r="V466">
        <v>0</v>
      </c>
      <c r="W466">
        <v>0</v>
      </c>
      <c r="X466">
        <v>2</v>
      </c>
      <c r="Y466">
        <v>0</v>
      </c>
      <c r="AA466">
        <v>0</v>
      </c>
      <c r="AB466">
        <v>9</v>
      </c>
      <c r="AC466">
        <v>3</v>
      </c>
      <c r="AD466">
        <v>0</v>
      </c>
      <c r="AE466">
        <v>10</v>
      </c>
      <c r="AF466" t="s">
        <v>126</v>
      </c>
      <c r="AG466">
        <v>0</v>
      </c>
      <c r="AH466">
        <v>0</v>
      </c>
      <c r="AI466">
        <v>2</v>
      </c>
      <c r="AJ466">
        <v>0</v>
      </c>
      <c r="AK466" t="s">
        <v>364</v>
      </c>
      <c r="AL466">
        <v>31.945689000000002</v>
      </c>
      <c r="AM466" t="s">
        <v>365</v>
      </c>
      <c r="AN466">
        <v>-101.094904</v>
      </c>
      <c r="AQ466" t="s">
        <v>129</v>
      </c>
      <c r="AR466">
        <v>74</v>
      </c>
      <c r="AS466">
        <v>-40</v>
      </c>
      <c r="AT466">
        <v>192</v>
      </c>
      <c r="BB466" t="str">
        <f t="shared" si="57"/>
        <v>1200</v>
      </c>
      <c r="BC466">
        <v>1</v>
      </c>
      <c r="BD466" t="str">
        <f t="shared" ref="BD466:BD529" si="59">"N745MB  "</f>
        <v xml:space="preserve">N745MB  </v>
      </c>
      <c r="BE466">
        <v>1</v>
      </c>
      <c r="BG466">
        <v>0</v>
      </c>
      <c r="BH466">
        <v>0</v>
      </c>
      <c r="BI466">
        <v>0</v>
      </c>
      <c r="BL466" t="s">
        <v>130</v>
      </c>
      <c r="BM466">
        <v>1</v>
      </c>
      <c r="BN466">
        <v>0</v>
      </c>
      <c r="BO466">
        <v>0</v>
      </c>
      <c r="BP466">
        <v>0</v>
      </c>
      <c r="BT466">
        <v>0</v>
      </c>
      <c r="BU466">
        <v>0</v>
      </c>
      <c r="CE466" t="str">
        <f>"20:22:10.518"</f>
        <v>20:22:10.518</v>
      </c>
      <c r="CF466">
        <v>517667847</v>
      </c>
      <c r="CS466">
        <v>0</v>
      </c>
      <c r="CT466">
        <v>2</v>
      </c>
      <c r="CU466">
        <v>0</v>
      </c>
      <c r="CV466">
        <v>2</v>
      </c>
      <c r="CW466">
        <v>0</v>
      </c>
      <c r="CX466">
        <v>2</v>
      </c>
      <c r="CY466">
        <v>7</v>
      </c>
      <c r="CZ466" t="s">
        <v>131</v>
      </c>
      <c r="DA466">
        <v>116</v>
      </c>
      <c r="DB466">
        <v>3</v>
      </c>
      <c r="DC466" t="s">
        <v>132</v>
      </c>
      <c r="DD466" t="s">
        <v>133</v>
      </c>
      <c r="DG466">
        <v>8289186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1</v>
      </c>
      <c r="DQ466">
        <v>0</v>
      </c>
      <c r="DR466">
        <v>0</v>
      </c>
      <c r="DS466">
        <v>0</v>
      </c>
    </row>
    <row r="467" spans="1:123" x14ac:dyDescent="0.25">
      <c r="A467" t="str">
        <f>"11/29/2023 20:22:11.117"</f>
        <v>11/29/2023 20:22:11.117</v>
      </c>
      <c r="C467" t="str">
        <f t="shared" si="58"/>
        <v>FFDF53C0</v>
      </c>
      <c r="D467" t="s">
        <v>123</v>
      </c>
      <c r="E467">
        <v>14</v>
      </c>
      <c r="F467">
        <v>1014</v>
      </c>
      <c r="G467" t="s">
        <v>124</v>
      </c>
      <c r="J467" t="s">
        <v>125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"20:22:10.516"</f>
        <v>20:22:10.516</v>
      </c>
      <c r="T467" t="str">
        <f>"20:22:09.316"</f>
        <v>20:22:09.316</v>
      </c>
      <c r="U467" t="str">
        <f t="shared" si="56"/>
        <v>AA0632</v>
      </c>
      <c r="V467">
        <v>0</v>
      </c>
      <c r="W467">
        <v>0</v>
      </c>
      <c r="X467">
        <v>2</v>
      </c>
      <c r="Y467">
        <v>0</v>
      </c>
      <c r="AA467">
        <v>0</v>
      </c>
      <c r="AB467">
        <v>9</v>
      </c>
      <c r="AC467">
        <v>3</v>
      </c>
      <c r="AD467">
        <v>0</v>
      </c>
      <c r="AE467">
        <v>10</v>
      </c>
      <c r="AF467" t="s">
        <v>126</v>
      </c>
      <c r="AG467">
        <v>0</v>
      </c>
      <c r="AH467">
        <v>0</v>
      </c>
      <c r="AI467">
        <v>2</v>
      </c>
      <c r="AJ467">
        <v>0</v>
      </c>
      <c r="AK467" t="s">
        <v>364</v>
      </c>
      <c r="AL467">
        <v>31.945689000000002</v>
      </c>
      <c r="AM467" t="s">
        <v>365</v>
      </c>
      <c r="AN467">
        <v>-101.094904</v>
      </c>
      <c r="AQ467" t="s">
        <v>129</v>
      </c>
      <c r="AR467">
        <v>74</v>
      </c>
      <c r="AS467">
        <v>-40</v>
      </c>
      <c r="AT467">
        <v>192</v>
      </c>
      <c r="BB467" t="str">
        <f t="shared" si="57"/>
        <v>1200</v>
      </c>
      <c r="BC467">
        <v>1</v>
      </c>
      <c r="BD467" t="str">
        <f t="shared" si="59"/>
        <v xml:space="preserve">N745MB  </v>
      </c>
      <c r="BE467">
        <v>1</v>
      </c>
      <c r="BG467">
        <v>0</v>
      </c>
      <c r="BH467">
        <v>0</v>
      </c>
      <c r="BI467">
        <v>0</v>
      </c>
      <c r="BL467" t="s">
        <v>130</v>
      </c>
      <c r="BM467">
        <v>1</v>
      </c>
      <c r="BN467">
        <v>0</v>
      </c>
      <c r="BO467">
        <v>0</v>
      </c>
      <c r="BP467">
        <v>0</v>
      </c>
      <c r="BT467">
        <v>0</v>
      </c>
      <c r="BU467">
        <v>0</v>
      </c>
      <c r="CE467" t="str">
        <f>"20:22:10.518"</f>
        <v>20:22:10.518</v>
      </c>
      <c r="CF467">
        <v>517667847</v>
      </c>
      <c r="CS467">
        <v>0</v>
      </c>
      <c r="CT467">
        <v>2</v>
      </c>
      <c r="CU467">
        <v>0</v>
      </c>
      <c r="CV467">
        <v>2</v>
      </c>
      <c r="CW467">
        <v>0</v>
      </c>
      <c r="CX467">
        <v>2</v>
      </c>
      <c r="CY467">
        <v>7</v>
      </c>
      <c r="CZ467" t="s">
        <v>131</v>
      </c>
      <c r="DA467">
        <v>116</v>
      </c>
      <c r="DB467">
        <v>3</v>
      </c>
      <c r="DC467" t="s">
        <v>132</v>
      </c>
      <c r="DD467" t="s">
        <v>133</v>
      </c>
      <c r="DG467">
        <v>8289186</v>
      </c>
      <c r="DI467">
        <v>0</v>
      </c>
      <c r="DJ467">
        <v>0</v>
      </c>
      <c r="DK467">
        <v>1</v>
      </c>
      <c r="DL467">
        <v>0</v>
      </c>
      <c r="DM467">
        <v>0</v>
      </c>
      <c r="DN467">
        <v>0</v>
      </c>
      <c r="DO467">
        <v>0</v>
      </c>
      <c r="DP467">
        <v>1</v>
      </c>
      <c r="DQ467">
        <v>0</v>
      </c>
      <c r="DR467">
        <v>0</v>
      </c>
      <c r="DS467">
        <v>0</v>
      </c>
    </row>
    <row r="468" spans="1:123" x14ac:dyDescent="0.25">
      <c r="A468" t="str">
        <f>"11/29/2023 20:22:11.117"</f>
        <v>11/29/2023 20:22:11.117</v>
      </c>
      <c r="C468" t="str">
        <f t="shared" si="58"/>
        <v>FFDF53C0</v>
      </c>
      <c r="D468" t="s">
        <v>138</v>
      </c>
      <c r="E468">
        <v>3</v>
      </c>
      <c r="H468">
        <v>160</v>
      </c>
      <c r="I468" t="s">
        <v>124</v>
      </c>
      <c r="J468" t="s">
        <v>139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"20:22:10.516"</f>
        <v>20:22:10.516</v>
      </c>
      <c r="T468" t="str">
        <f>"20:22:09.316"</f>
        <v>20:22:09.316</v>
      </c>
      <c r="U468" t="str">
        <f t="shared" si="56"/>
        <v>AA0632</v>
      </c>
      <c r="V468">
        <v>0</v>
      </c>
      <c r="W468">
        <v>0</v>
      </c>
      <c r="X468">
        <v>2</v>
      </c>
      <c r="Y468">
        <v>0</v>
      </c>
      <c r="AA468">
        <v>0</v>
      </c>
      <c r="AB468">
        <v>9</v>
      </c>
      <c r="AC468">
        <v>3</v>
      </c>
      <c r="AD468">
        <v>0</v>
      </c>
      <c r="AE468">
        <v>10</v>
      </c>
      <c r="AF468" t="s">
        <v>126</v>
      </c>
      <c r="AG468">
        <v>0</v>
      </c>
      <c r="AH468">
        <v>0</v>
      </c>
      <c r="AI468">
        <v>2</v>
      </c>
      <c r="AJ468">
        <v>0</v>
      </c>
      <c r="AK468" t="s">
        <v>364</v>
      </c>
      <c r="AL468">
        <v>31.945689000000002</v>
      </c>
      <c r="AM468" t="s">
        <v>365</v>
      </c>
      <c r="AN468">
        <v>-101.094904</v>
      </c>
      <c r="AQ468" t="s">
        <v>129</v>
      </c>
      <c r="AR468">
        <v>74</v>
      </c>
      <c r="AS468">
        <v>-40</v>
      </c>
      <c r="AT468">
        <v>192</v>
      </c>
      <c r="BB468" t="str">
        <f t="shared" si="57"/>
        <v>1200</v>
      </c>
      <c r="BC468">
        <v>1</v>
      </c>
      <c r="BD468" t="str">
        <f t="shared" si="59"/>
        <v xml:space="preserve">N745MB  </v>
      </c>
      <c r="BE468">
        <v>1</v>
      </c>
      <c r="BG468">
        <v>0</v>
      </c>
      <c r="BH468">
        <v>0</v>
      </c>
      <c r="BI468">
        <v>0</v>
      </c>
      <c r="BL468" t="s">
        <v>130</v>
      </c>
      <c r="BM468">
        <v>1</v>
      </c>
      <c r="BN468">
        <v>0</v>
      </c>
      <c r="BO468">
        <v>0</v>
      </c>
      <c r="BP468">
        <v>0</v>
      </c>
      <c r="BT468">
        <v>0</v>
      </c>
      <c r="BU468">
        <v>0</v>
      </c>
      <c r="CE468" t="str">
        <f>"20:22:10.518"</f>
        <v>20:22:10.518</v>
      </c>
      <c r="CF468">
        <v>517667847</v>
      </c>
      <c r="CS468">
        <v>0</v>
      </c>
      <c r="CT468">
        <v>2</v>
      </c>
      <c r="CU468">
        <v>0</v>
      </c>
      <c r="CV468">
        <v>2</v>
      </c>
      <c r="CW468">
        <v>0</v>
      </c>
      <c r="CX468">
        <v>2</v>
      </c>
      <c r="CY468">
        <v>7</v>
      </c>
      <c r="CZ468" t="s">
        <v>131</v>
      </c>
      <c r="DA468">
        <v>116</v>
      </c>
      <c r="DB468">
        <v>3</v>
      </c>
      <c r="DC468" t="s">
        <v>132</v>
      </c>
      <c r="DD468" t="s">
        <v>133</v>
      </c>
      <c r="DG468">
        <v>8289186</v>
      </c>
      <c r="DI468">
        <v>0</v>
      </c>
      <c r="DJ468">
        <v>0</v>
      </c>
      <c r="DK468">
        <v>1</v>
      </c>
      <c r="DL468">
        <v>0</v>
      </c>
      <c r="DM468">
        <v>0</v>
      </c>
      <c r="DN468">
        <v>0</v>
      </c>
      <c r="DO468">
        <v>0</v>
      </c>
      <c r="DP468">
        <v>1</v>
      </c>
      <c r="DQ468">
        <v>0</v>
      </c>
      <c r="DR468">
        <v>0</v>
      </c>
      <c r="DS468">
        <v>0</v>
      </c>
    </row>
    <row r="469" spans="1:123" x14ac:dyDescent="0.25">
      <c r="A469" t="str">
        <f>"11/29/2023 20:22:11.117"</f>
        <v>11/29/2023 20:22:11.117</v>
      </c>
      <c r="C469" t="str">
        <f t="shared" si="58"/>
        <v>FFDF53C0</v>
      </c>
      <c r="D469" t="s">
        <v>123</v>
      </c>
      <c r="E469">
        <v>1</v>
      </c>
      <c r="F469">
        <v>1001</v>
      </c>
      <c r="G469" t="s">
        <v>134</v>
      </c>
      <c r="J469" t="s">
        <v>125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"20:22:10.516"</f>
        <v>20:22:10.516</v>
      </c>
      <c r="T469" t="str">
        <f>"20:22:09.316"</f>
        <v>20:22:09.316</v>
      </c>
      <c r="U469" t="str">
        <f t="shared" si="56"/>
        <v>AA0632</v>
      </c>
      <c r="V469">
        <v>0</v>
      </c>
      <c r="W469">
        <v>0</v>
      </c>
      <c r="X469">
        <v>2</v>
      </c>
      <c r="Y469">
        <v>0</v>
      </c>
      <c r="AA469">
        <v>0</v>
      </c>
      <c r="AB469">
        <v>9</v>
      </c>
      <c r="AC469">
        <v>3</v>
      </c>
      <c r="AD469">
        <v>0</v>
      </c>
      <c r="AE469">
        <v>10</v>
      </c>
      <c r="AF469" t="s">
        <v>126</v>
      </c>
      <c r="AG469">
        <v>0</v>
      </c>
      <c r="AH469">
        <v>0</v>
      </c>
      <c r="AI469">
        <v>2</v>
      </c>
      <c r="AJ469">
        <v>0</v>
      </c>
      <c r="AK469" t="s">
        <v>364</v>
      </c>
      <c r="AL469">
        <v>31.945689000000002</v>
      </c>
      <c r="AM469" t="s">
        <v>365</v>
      </c>
      <c r="AN469">
        <v>-101.094904</v>
      </c>
      <c r="AQ469" t="s">
        <v>129</v>
      </c>
      <c r="AR469">
        <v>74</v>
      </c>
      <c r="AS469">
        <v>-40</v>
      </c>
      <c r="AT469">
        <v>192</v>
      </c>
      <c r="BB469" t="str">
        <f t="shared" si="57"/>
        <v>1200</v>
      </c>
      <c r="BC469">
        <v>1</v>
      </c>
      <c r="BD469" t="str">
        <f t="shared" si="59"/>
        <v xml:space="preserve">N745MB  </v>
      </c>
      <c r="BE469">
        <v>1</v>
      </c>
      <c r="BG469">
        <v>0</v>
      </c>
      <c r="BH469">
        <v>0</v>
      </c>
      <c r="BI469">
        <v>0</v>
      </c>
      <c r="BL469" t="s">
        <v>130</v>
      </c>
      <c r="BM469">
        <v>1</v>
      </c>
      <c r="BN469">
        <v>0</v>
      </c>
      <c r="BO469">
        <v>0</v>
      </c>
      <c r="BP469">
        <v>0</v>
      </c>
      <c r="BT469">
        <v>0</v>
      </c>
      <c r="BU469">
        <v>0</v>
      </c>
      <c r="CE469" t="str">
        <f>"20:22:10.518"</f>
        <v>20:22:10.518</v>
      </c>
      <c r="CF469">
        <v>517667847</v>
      </c>
      <c r="CS469">
        <v>0</v>
      </c>
      <c r="CT469">
        <v>2</v>
      </c>
      <c r="CU469">
        <v>0</v>
      </c>
      <c r="CV469">
        <v>2</v>
      </c>
      <c r="CW469">
        <v>0</v>
      </c>
      <c r="CX469">
        <v>2</v>
      </c>
      <c r="CY469">
        <v>7</v>
      </c>
      <c r="CZ469" t="s">
        <v>131</v>
      </c>
      <c r="DA469">
        <v>116</v>
      </c>
      <c r="DB469">
        <v>3</v>
      </c>
      <c r="DC469" t="s">
        <v>132</v>
      </c>
      <c r="DD469" t="s">
        <v>133</v>
      </c>
      <c r="DG469">
        <v>8289186</v>
      </c>
      <c r="DI469">
        <v>0</v>
      </c>
      <c r="DJ469">
        <v>0</v>
      </c>
      <c r="DK469">
        <v>1</v>
      </c>
      <c r="DL469">
        <v>0</v>
      </c>
      <c r="DM469">
        <v>0</v>
      </c>
      <c r="DN469">
        <v>0</v>
      </c>
      <c r="DO469">
        <v>0</v>
      </c>
      <c r="DP469">
        <v>1</v>
      </c>
      <c r="DQ469">
        <v>0</v>
      </c>
      <c r="DR469">
        <v>0</v>
      </c>
      <c r="DS469">
        <v>0</v>
      </c>
    </row>
    <row r="470" spans="1:123" x14ac:dyDescent="0.25">
      <c r="A470" t="str">
        <f>"11/29/2023 20:22:12.555"</f>
        <v>11/29/2023 20:22:12.555</v>
      </c>
      <c r="C470" t="str">
        <f t="shared" si="58"/>
        <v>FFDF53C0</v>
      </c>
      <c r="D470" t="s">
        <v>138</v>
      </c>
      <c r="E470">
        <v>3</v>
      </c>
      <c r="H470">
        <v>160</v>
      </c>
      <c r="I470" t="s">
        <v>124</v>
      </c>
      <c r="J470" t="s">
        <v>139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"20:22:12.039"</f>
        <v>20:22:12.039</v>
      </c>
      <c r="T470" t="str">
        <f>"20:22:11.839"</f>
        <v>20:22:11.839</v>
      </c>
      <c r="U470" t="str">
        <f t="shared" si="56"/>
        <v>AA0632</v>
      </c>
      <c r="V470">
        <v>0</v>
      </c>
      <c r="W470">
        <v>0</v>
      </c>
      <c r="X470">
        <v>2</v>
      </c>
      <c r="Y470">
        <v>0</v>
      </c>
      <c r="AA470">
        <v>0</v>
      </c>
      <c r="AB470">
        <v>9</v>
      </c>
      <c r="AC470">
        <v>3</v>
      </c>
      <c r="AD470">
        <v>0</v>
      </c>
      <c r="AE470">
        <v>10</v>
      </c>
      <c r="AF470" t="s">
        <v>126</v>
      </c>
      <c r="AG470">
        <v>0</v>
      </c>
      <c r="AH470">
        <v>0</v>
      </c>
      <c r="AI470">
        <v>2</v>
      </c>
      <c r="AJ470">
        <v>0</v>
      </c>
      <c r="AK470" t="s">
        <v>366</v>
      </c>
      <c r="AL470">
        <v>31.945367000000001</v>
      </c>
      <c r="AM470" t="s">
        <v>367</v>
      </c>
      <c r="AN470">
        <v>-101.094325</v>
      </c>
      <c r="AQ470" t="s">
        <v>129</v>
      </c>
      <c r="AR470">
        <v>72</v>
      </c>
      <c r="AS470">
        <v>-44</v>
      </c>
      <c r="AT470">
        <v>-64</v>
      </c>
      <c r="BB470" t="str">
        <f t="shared" si="57"/>
        <v>1200</v>
      </c>
      <c r="BC470">
        <v>1</v>
      </c>
      <c r="BD470" t="str">
        <f t="shared" si="59"/>
        <v xml:space="preserve">N745MB  </v>
      </c>
      <c r="BE470">
        <v>1</v>
      </c>
      <c r="BG470">
        <v>0</v>
      </c>
      <c r="BH470">
        <v>0</v>
      </c>
      <c r="BI470">
        <v>0</v>
      </c>
      <c r="BL470" t="s">
        <v>130</v>
      </c>
      <c r="BM470">
        <v>1</v>
      </c>
      <c r="BN470">
        <v>0</v>
      </c>
      <c r="BO470">
        <v>0</v>
      </c>
      <c r="BP470">
        <v>0</v>
      </c>
      <c r="BT470">
        <v>0</v>
      </c>
      <c r="BU470">
        <v>0</v>
      </c>
      <c r="CE470" t="str">
        <f>"20:22:12.042"</f>
        <v>20:22:12.042</v>
      </c>
      <c r="CF470">
        <v>41566553</v>
      </c>
      <c r="CS470">
        <v>0</v>
      </c>
      <c r="CT470">
        <v>2</v>
      </c>
      <c r="CU470">
        <v>0</v>
      </c>
      <c r="CV470">
        <v>2</v>
      </c>
      <c r="CW470">
        <v>0</v>
      </c>
      <c r="CX470">
        <v>2</v>
      </c>
      <c r="CY470">
        <v>7</v>
      </c>
      <c r="CZ470" t="s">
        <v>131</v>
      </c>
      <c r="DA470">
        <v>116</v>
      </c>
      <c r="DB470">
        <v>3</v>
      </c>
      <c r="DC470" t="s">
        <v>132</v>
      </c>
      <c r="DD470" t="s">
        <v>133</v>
      </c>
      <c r="DG470">
        <v>8290037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1</v>
      </c>
      <c r="DQ470">
        <v>0</v>
      </c>
      <c r="DR470">
        <v>0</v>
      </c>
      <c r="DS470">
        <v>0</v>
      </c>
    </row>
    <row r="471" spans="1:123" x14ac:dyDescent="0.25">
      <c r="A471" t="str">
        <f>"11/29/2023 20:22:12.555"</f>
        <v>11/29/2023 20:22:12.555</v>
      </c>
      <c r="C471" t="str">
        <f t="shared" si="58"/>
        <v>FFDF53C0</v>
      </c>
      <c r="D471" t="s">
        <v>123</v>
      </c>
      <c r="E471">
        <v>1</v>
      </c>
      <c r="F471">
        <v>1001</v>
      </c>
      <c r="G471" t="s">
        <v>134</v>
      </c>
      <c r="J471" t="s">
        <v>125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"20:22:12.039"</f>
        <v>20:22:12.039</v>
      </c>
      <c r="T471" t="str">
        <f>"20:22:11.839"</f>
        <v>20:22:11.839</v>
      </c>
      <c r="U471" t="str">
        <f t="shared" si="56"/>
        <v>AA0632</v>
      </c>
      <c r="V471">
        <v>0</v>
      </c>
      <c r="W471">
        <v>0</v>
      </c>
      <c r="X471">
        <v>2</v>
      </c>
      <c r="Y471">
        <v>0</v>
      </c>
      <c r="AA471">
        <v>0</v>
      </c>
      <c r="AB471">
        <v>9</v>
      </c>
      <c r="AC471">
        <v>3</v>
      </c>
      <c r="AD471">
        <v>0</v>
      </c>
      <c r="AE471">
        <v>10</v>
      </c>
      <c r="AF471" t="s">
        <v>126</v>
      </c>
      <c r="AG471">
        <v>0</v>
      </c>
      <c r="AH471">
        <v>0</v>
      </c>
      <c r="AI471">
        <v>2</v>
      </c>
      <c r="AJ471">
        <v>0</v>
      </c>
      <c r="AK471" t="s">
        <v>366</v>
      </c>
      <c r="AL471">
        <v>31.945367000000001</v>
      </c>
      <c r="AM471" t="s">
        <v>367</v>
      </c>
      <c r="AN471">
        <v>-101.094325</v>
      </c>
      <c r="AQ471" t="s">
        <v>129</v>
      </c>
      <c r="AR471">
        <v>72</v>
      </c>
      <c r="AS471">
        <v>-44</v>
      </c>
      <c r="AT471">
        <v>-64</v>
      </c>
      <c r="BB471" t="str">
        <f t="shared" si="57"/>
        <v>1200</v>
      </c>
      <c r="BC471">
        <v>1</v>
      </c>
      <c r="BD471" t="str">
        <f t="shared" si="59"/>
        <v xml:space="preserve">N745MB  </v>
      </c>
      <c r="BE471">
        <v>1</v>
      </c>
      <c r="BG471">
        <v>0</v>
      </c>
      <c r="BH471">
        <v>0</v>
      </c>
      <c r="BI471">
        <v>0</v>
      </c>
      <c r="BL471" t="s">
        <v>130</v>
      </c>
      <c r="BM471">
        <v>1</v>
      </c>
      <c r="BN471">
        <v>0</v>
      </c>
      <c r="BO471">
        <v>0</v>
      </c>
      <c r="BP471">
        <v>0</v>
      </c>
      <c r="BT471">
        <v>0</v>
      </c>
      <c r="BU471">
        <v>0</v>
      </c>
      <c r="CE471" t="str">
        <f>"20:22:12.042"</f>
        <v>20:22:12.042</v>
      </c>
      <c r="CF471">
        <v>41566553</v>
      </c>
      <c r="CS471">
        <v>0</v>
      </c>
      <c r="CT471">
        <v>2</v>
      </c>
      <c r="CU471">
        <v>0</v>
      </c>
      <c r="CV471">
        <v>2</v>
      </c>
      <c r="CW471">
        <v>0</v>
      </c>
      <c r="CX471">
        <v>2</v>
      </c>
      <c r="CY471">
        <v>7</v>
      </c>
      <c r="CZ471" t="s">
        <v>131</v>
      </c>
      <c r="DA471">
        <v>116</v>
      </c>
      <c r="DB471">
        <v>3</v>
      </c>
      <c r="DC471" t="s">
        <v>132</v>
      </c>
      <c r="DD471" t="s">
        <v>133</v>
      </c>
      <c r="DG471">
        <v>8290037</v>
      </c>
      <c r="DI471">
        <v>0</v>
      </c>
      <c r="DJ471">
        <v>0</v>
      </c>
      <c r="DK471">
        <v>1</v>
      </c>
      <c r="DL471">
        <v>0</v>
      </c>
      <c r="DM471">
        <v>0</v>
      </c>
      <c r="DN471">
        <v>0</v>
      </c>
      <c r="DO471">
        <v>0</v>
      </c>
      <c r="DP471">
        <v>1</v>
      </c>
      <c r="DQ471">
        <v>0</v>
      </c>
      <c r="DR471">
        <v>0</v>
      </c>
      <c r="DS471">
        <v>0</v>
      </c>
    </row>
    <row r="472" spans="1:123" x14ac:dyDescent="0.25">
      <c r="A472" t="str">
        <f>"11/29/2023 20:22:12.555"</f>
        <v>11/29/2023 20:22:12.555</v>
      </c>
      <c r="C472" t="str">
        <f t="shared" si="58"/>
        <v>FFDF53C0</v>
      </c>
      <c r="D472" t="s">
        <v>135</v>
      </c>
      <c r="E472">
        <v>31</v>
      </c>
      <c r="H472">
        <v>285</v>
      </c>
      <c r="I472" t="s">
        <v>136</v>
      </c>
      <c r="J472" t="s">
        <v>137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"20:22:12.039"</f>
        <v>20:22:12.039</v>
      </c>
      <c r="T472" t="str">
        <f>"20:22:11.839"</f>
        <v>20:22:11.839</v>
      </c>
      <c r="U472" t="str">
        <f t="shared" si="56"/>
        <v>AA0632</v>
      </c>
      <c r="V472">
        <v>0</v>
      </c>
      <c r="W472">
        <v>0</v>
      </c>
      <c r="X472">
        <v>2</v>
      </c>
      <c r="Y472">
        <v>0</v>
      </c>
      <c r="AA472">
        <v>0</v>
      </c>
      <c r="AB472">
        <v>9</v>
      </c>
      <c r="AC472">
        <v>3</v>
      </c>
      <c r="AD472">
        <v>0</v>
      </c>
      <c r="AE472">
        <v>10</v>
      </c>
      <c r="AF472" t="s">
        <v>126</v>
      </c>
      <c r="AG472">
        <v>0</v>
      </c>
      <c r="AH472">
        <v>0</v>
      </c>
      <c r="AI472">
        <v>2</v>
      </c>
      <c r="AJ472">
        <v>0</v>
      </c>
      <c r="AK472" t="s">
        <v>366</v>
      </c>
      <c r="AL472">
        <v>31.945367000000001</v>
      </c>
      <c r="AM472" t="s">
        <v>367</v>
      </c>
      <c r="AN472">
        <v>-101.094325</v>
      </c>
      <c r="AQ472" t="s">
        <v>129</v>
      </c>
      <c r="AR472">
        <v>72</v>
      </c>
      <c r="AS472">
        <v>-44</v>
      </c>
      <c r="AT472">
        <v>-64</v>
      </c>
      <c r="BB472" t="str">
        <f t="shared" si="57"/>
        <v>1200</v>
      </c>
      <c r="BC472">
        <v>1</v>
      </c>
      <c r="BD472" t="str">
        <f t="shared" si="59"/>
        <v xml:space="preserve">N745MB  </v>
      </c>
      <c r="BE472">
        <v>1</v>
      </c>
      <c r="BG472">
        <v>0</v>
      </c>
      <c r="BH472">
        <v>0</v>
      </c>
      <c r="BI472">
        <v>0</v>
      </c>
      <c r="BL472" t="s">
        <v>130</v>
      </c>
      <c r="BM472">
        <v>1</v>
      </c>
      <c r="BN472">
        <v>0</v>
      </c>
      <c r="BO472">
        <v>0</v>
      </c>
      <c r="BP472">
        <v>0</v>
      </c>
      <c r="BT472">
        <v>0</v>
      </c>
      <c r="BU472">
        <v>0</v>
      </c>
      <c r="CE472" t="str">
        <f>"20:22:12.042"</f>
        <v>20:22:12.042</v>
      </c>
      <c r="CF472">
        <v>41566553</v>
      </c>
      <c r="CS472">
        <v>0</v>
      </c>
      <c r="CT472">
        <v>2</v>
      </c>
      <c r="CU472">
        <v>0</v>
      </c>
      <c r="CV472">
        <v>2</v>
      </c>
      <c r="CW472">
        <v>0</v>
      </c>
      <c r="CX472">
        <v>2</v>
      </c>
      <c r="CY472">
        <v>7</v>
      </c>
      <c r="CZ472" t="s">
        <v>131</v>
      </c>
      <c r="DA472">
        <v>116</v>
      </c>
      <c r="DB472">
        <v>3</v>
      </c>
      <c r="DC472" t="s">
        <v>132</v>
      </c>
      <c r="DD472" t="s">
        <v>133</v>
      </c>
      <c r="DG472">
        <v>8290037</v>
      </c>
      <c r="DI472">
        <v>0</v>
      </c>
      <c r="DJ472">
        <v>0</v>
      </c>
      <c r="DK472">
        <v>1</v>
      </c>
      <c r="DL472">
        <v>0</v>
      </c>
      <c r="DM472">
        <v>0</v>
      </c>
      <c r="DN472">
        <v>0</v>
      </c>
      <c r="DO472">
        <v>0</v>
      </c>
      <c r="DP472">
        <v>1</v>
      </c>
      <c r="DQ472">
        <v>0</v>
      </c>
      <c r="DR472">
        <v>0</v>
      </c>
      <c r="DS472">
        <v>0</v>
      </c>
    </row>
    <row r="473" spans="1:123" x14ac:dyDescent="0.25">
      <c r="A473" t="str">
        <f>"11/29/2023 20:22:12.555"</f>
        <v>11/29/2023 20:22:12.555</v>
      </c>
      <c r="C473" t="str">
        <f t="shared" si="58"/>
        <v>FFDF53C0</v>
      </c>
      <c r="D473" t="s">
        <v>123</v>
      </c>
      <c r="E473">
        <v>14</v>
      </c>
      <c r="F473">
        <v>1014</v>
      </c>
      <c r="G473" t="s">
        <v>124</v>
      </c>
      <c r="J473" t="s">
        <v>125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"20:22:12.039"</f>
        <v>20:22:12.039</v>
      </c>
      <c r="T473" t="str">
        <f>"20:22:11.839"</f>
        <v>20:22:11.839</v>
      </c>
      <c r="U473" t="str">
        <f t="shared" si="56"/>
        <v>AA0632</v>
      </c>
      <c r="V473">
        <v>0</v>
      </c>
      <c r="W473">
        <v>0</v>
      </c>
      <c r="X473">
        <v>2</v>
      </c>
      <c r="Y473">
        <v>0</v>
      </c>
      <c r="AA473">
        <v>0</v>
      </c>
      <c r="AB473">
        <v>9</v>
      </c>
      <c r="AC473">
        <v>3</v>
      </c>
      <c r="AD473">
        <v>0</v>
      </c>
      <c r="AE473">
        <v>10</v>
      </c>
      <c r="AF473" t="s">
        <v>126</v>
      </c>
      <c r="AG473">
        <v>0</v>
      </c>
      <c r="AH473">
        <v>0</v>
      </c>
      <c r="AI473">
        <v>2</v>
      </c>
      <c r="AJ473">
        <v>0</v>
      </c>
      <c r="AK473" t="s">
        <v>366</v>
      </c>
      <c r="AL473">
        <v>31.945367000000001</v>
      </c>
      <c r="AM473" t="s">
        <v>367</v>
      </c>
      <c r="AN473">
        <v>-101.094325</v>
      </c>
      <c r="AQ473" t="s">
        <v>129</v>
      </c>
      <c r="AR473">
        <v>72</v>
      </c>
      <c r="AS473">
        <v>-44</v>
      </c>
      <c r="AT473">
        <v>-64</v>
      </c>
      <c r="BB473" t="str">
        <f t="shared" si="57"/>
        <v>1200</v>
      </c>
      <c r="BC473">
        <v>1</v>
      </c>
      <c r="BD473" t="str">
        <f t="shared" si="59"/>
        <v xml:space="preserve">N745MB  </v>
      </c>
      <c r="BE473">
        <v>1</v>
      </c>
      <c r="BG473">
        <v>0</v>
      </c>
      <c r="BH473">
        <v>0</v>
      </c>
      <c r="BI473">
        <v>0</v>
      </c>
      <c r="BL473" t="s">
        <v>130</v>
      </c>
      <c r="BM473">
        <v>1</v>
      </c>
      <c r="BN473">
        <v>0</v>
      </c>
      <c r="BO473">
        <v>0</v>
      </c>
      <c r="BP473">
        <v>0</v>
      </c>
      <c r="BT473">
        <v>0</v>
      </c>
      <c r="BU473">
        <v>0</v>
      </c>
      <c r="CE473" t="str">
        <f>"20:22:12.042"</f>
        <v>20:22:12.042</v>
      </c>
      <c r="CF473">
        <v>41566553</v>
      </c>
      <c r="CS473">
        <v>0</v>
      </c>
      <c r="CT473">
        <v>2</v>
      </c>
      <c r="CU473">
        <v>0</v>
      </c>
      <c r="CV473">
        <v>2</v>
      </c>
      <c r="CW473">
        <v>0</v>
      </c>
      <c r="CX473">
        <v>2</v>
      </c>
      <c r="CY473">
        <v>7</v>
      </c>
      <c r="CZ473" t="s">
        <v>131</v>
      </c>
      <c r="DA473">
        <v>116</v>
      </c>
      <c r="DB473">
        <v>3</v>
      </c>
      <c r="DC473" t="s">
        <v>132</v>
      </c>
      <c r="DD473" t="s">
        <v>133</v>
      </c>
      <c r="DG473">
        <v>8290037</v>
      </c>
      <c r="DI473">
        <v>0</v>
      </c>
      <c r="DJ473">
        <v>0</v>
      </c>
      <c r="DK473">
        <v>1</v>
      </c>
      <c r="DL473">
        <v>0</v>
      </c>
      <c r="DM473">
        <v>0</v>
      </c>
      <c r="DN473">
        <v>0</v>
      </c>
      <c r="DO473">
        <v>0</v>
      </c>
      <c r="DP473">
        <v>1</v>
      </c>
      <c r="DQ473">
        <v>0</v>
      </c>
      <c r="DR473">
        <v>0</v>
      </c>
      <c r="DS473">
        <v>0</v>
      </c>
    </row>
    <row r="474" spans="1:123" x14ac:dyDescent="0.25">
      <c r="A474" t="str">
        <f>"11/29/2023 20:22:13.836"</f>
        <v>11/29/2023 20:22:13.836</v>
      </c>
      <c r="C474" t="str">
        <f t="shared" si="58"/>
        <v>FFDF53C0</v>
      </c>
      <c r="D474" t="s">
        <v>138</v>
      </c>
      <c r="E474">
        <v>3</v>
      </c>
      <c r="H474">
        <v>160</v>
      </c>
      <c r="I474" t="s">
        <v>124</v>
      </c>
      <c r="J474" t="s">
        <v>139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"20:22:13.141"</f>
        <v>20:22:13.141</v>
      </c>
      <c r="T474" t="str">
        <f>"20:22:13.041"</f>
        <v>20:22:13.041</v>
      </c>
      <c r="U474" t="str">
        <f t="shared" si="56"/>
        <v>AA0632</v>
      </c>
      <c r="V474">
        <v>0</v>
      </c>
      <c r="W474">
        <v>0</v>
      </c>
      <c r="X474">
        <v>2</v>
      </c>
      <c r="Y474">
        <v>0</v>
      </c>
      <c r="AA474">
        <v>0</v>
      </c>
      <c r="AB474">
        <v>9</v>
      </c>
      <c r="AC474">
        <v>3</v>
      </c>
      <c r="AD474">
        <v>0</v>
      </c>
      <c r="AE474">
        <v>10</v>
      </c>
      <c r="AF474" t="s">
        <v>126</v>
      </c>
      <c r="AG474">
        <v>0</v>
      </c>
      <c r="AH474">
        <v>0</v>
      </c>
      <c r="AI474">
        <v>2</v>
      </c>
      <c r="AJ474">
        <v>0</v>
      </c>
      <c r="AK474" t="s">
        <v>368</v>
      </c>
      <c r="AL474">
        <v>31.945131</v>
      </c>
      <c r="AM474" t="s">
        <v>369</v>
      </c>
      <c r="AN474">
        <v>-101.093895</v>
      </c>
      <c r="AQ474" t="s">
        <v>129</v>
      </c>
      <c r="AR474">
        <v>72</v>
      </c>
      <c r="AS474">
        <v>-44</v>
      </c>
      <c r="AT474">
        <v>-64</v>
      </c>
      <c r="BB474" t="str">
        <f t="shared" si="57"/>
        <v>1200</v>
      </c>
      <c r="BC474">
        <v>1</v>
      </c>
      <c r="BD474" t="str">
        <f t="shared" si="59"/>
        <v xml:space="preserve">N745MB  </v>
      </c>
      <c r="BE474">
        <v>1</v>
      </c>
      <c r="BG474">
        <v>0</v>
      </c>
      <c r="BH474">
        <v>0</v>
      </c>
      <c r="BI474">
        <v>0</v>
      </c>
      <c r="BL474" t="s">
        <v>130</v>
      </c>
      <c r="BM474">
        <v>1</v>
      </c>
      <c r="BN474">
        <v>0</v>
      </c>
      <c r="BO474">
        <v>0</v>
      </c>
      <c r="BP474">
        <v>0</v>
      </c>
      <c r="BT474">
        <v>0</v>
      </c>
      <c r="BU474">
        <v>0</v>
      </c>
      <c r="CE474" t="str">
        <f>"20:22:13.146"</f>
        <v>20:22:13.146</v>
      </c>
      <c r="CF474">
        <v>145510428</v>
      </c>
      <c r="CS474">
        <v>0</v>
      </c>
      <c r="CT474">
        <v>2</v>
      </c>
      <c r="CU474">
        <v>0</v>
      </c>
      <c r="CV474">
        <v>2</v>
      </c>
      <c r="CW474">
        <v>0</v>
      </c>
      <c r="CX474">
        <v>3</v>
      </c>
      <c r="CY474">
        <v>7</v>
      </c>
      <c r="CZ474" t="s">
        <v>131</v>
      </c>
      <c r="DA474">
        <v>116</v>
      </c>
      <c r="DB474">
        <v>3</v>
      </c>
      <c r="DC474" t="s">
        <v>132</v>
      </c>
      <c r="DD474" t="s">
        <v>133</v>
      </c>
      <c r="DG474">
        <v>8290643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1</v>
      </c>
      <c r="DQ474">
        <v>0</v>
      </c>
      <c r="DR474">
        <v>0</v>
      </c>
      <c r="DS474">
        <v>0</v>
      </c>
    </row>
    <row r="475" spans="1:123" x14ac:dyDescent="0.25">
      <c r="A475" t="str">
        <f>"11/29/2023 20:22:13.836"</f>
        <v>11/29/2023 20:22:13.836</v>
      </c>
      <c r="C475" t="str">
        <f t="shared" si="58"/>
        <v>FFDF53C0</v>
      </c>
      <c r="D475" t="s">
        <v>123</v>
      </c>
      <c r="E475">
        <v>1</v>
      </c>
      <c r="F475">
        <v>1001</v>
      </c>
      <c r="G475" t="s">
        <v>134</v>
      </c>
      <c r="J475" t="s">
        <v>125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"20:22:13.141"</f>
        <v>20:22:13.141</v>
      </c>
      <c r="T475" t="str">
        <f>"20:22:13.041"</f>
        <v>20:22:13.041</v>
      </c>
      <c r="U475" t="str">
        <f t="shared" si="56"/>
        <v>AA0632</v>
      </c>
      <c r="V475">
        <v>0</v>
      </c>
      <c r="W475">
        <v>0</v>
      </c>
      <c r="X475">
        <v>2</v>
      </c>
      <c r="Y475">
        <v>0</v>
      </c>
      <c r="AA475">
        <v>0</v>
      </c>
      <c r="AB475">
        <v>9</v>
      </c>
      <c r="AC475">
        <v>3</v>
      </c>
      <c r="AD475">
        <v>0</v>
      </c>
      <c r="AE475">
        <v>10</v>
      </c>
      <c r="AF475" t="s">
        <v>126</v>
      </c>
      <c r="AG475">
        <v>0</v>
      </c>
      <c r="AH475">
        <v>0</v>
      </c>
      <c r="AI475">
        <v>2</v>
      </c>
      <c r="AJ475">
        <v>0</v>
      </c>
      <c r="AK475" t="s">
        <v>368</v>
      </c>
      <c r="AL475">
        <v>31.945131</v>
      </c>
      <c r="AM475" t="s">
        <v>369</v>
      </c>
      <c r="AN475">
        <v>-101.093895</v>
      </c>
      <c r="AQ475" t="s">
        <v>129</v>
      </c>
      <c r="AR475">
        <v>72</v>
      </c>
      <c r="AS475">
        <v>-44</v>
      </c>
      <c r="AT475">
        <v>-64</v>
      </c>
      <c r="BB475" t="str">
        <f t="shared" si="57"/>
        <v>1200</v>
      </c>
      <c r="BC475">
        <v>1</v>
      </c>
      <c r="BD475" t="str">
        <f t="shared" si="59"/>
        <v xml:space="preserve">N745MB  </v>
      </c>
      <c r="BE475">
        <v>1</v>
      </c>
      <c r="BG475">
        <v>0</v>
      </c>
      <c r="BH475">
        <v>0</v>
      </c>
      <c r="BI475">
        <v>0</v>
      </c>
      <c r="BL475" t="s">
        <v>130</v>
      </c>
      <c r="BM475">
        <v>1</v>
      </c>
      <c r="BN475">
        <v>0</v>
      </c>
      <c r="BO475">
        <v>0</v>
      </c>
      <c r="BP475">
        <v>0</v>
      </c>
      <c r="BT475">
        <v>0</v>
      </c>
      <c r="BU475">
        <v>0</v>
      </c>
      <c r="CE475" t="str">
        <f>"20:22:13.146"</f>
        <v>20:22:13.146</v>
      </c>
      <c r="CF475">
        <v>145510428</v>
      </c>
      <c r="CS475">
        <v>0</v>
      </c>
      <c r="CT475">
        <v>2</v>
      </c>
      <c r="CU475">
        <v>0</v>
      </c>
      <c r="CV475">
        <v>2</v>
      </c>
      <c r="CW475">
        <v>0</v>
      </c>
      <c r="CX475">
        <v>3</v>
      </c>
      <c r="CY475">
        <v>7</v>
      </c>
      <c r="CZ475" t="s">
        <v>131</v>
      </c>
      <c r="DA475">
        <v>116</v>
      </c>
      <c r="DB475">
        <v>3</v>
      </c>
      <c r="DC475" t="s">
        <v>132</v>
      </c>
      <c r="DD475" t="s">
        <v>133</v>
      </c>
      <c r="DG475">
        <v>8290643</v>
      </c>
      <c r="DI475">
        <v>0</v>
      </c>
      <c r="DJ475">
        <v>0</v>
      </c>
      <c r="DK475">
        <v>1</v>
      </c>
      <c r="DL475">
        <v>0</v>
      </c>
      <c r="DM475">
        <v>0</v>
      </c>
      <c r="DN475">
        <v>0</v>
      </c>
      <c r="DO475">
        <v>0</v>
      </c>
      <c r="DP475">
        <v>1</v>
      </c>
      <c r="DQ475">
        <v>0</v>
      </c>
      <c r="DR475">
        <v>0</v>
      </c>
      <c r="DS475">
        <v>0</v>
      </c>
    </row>
    <row r="476" spans="1:123" x14ac:dyDescent="0.25">
      <c r="A476" t="str">
        <f>"11/29/2023 20:22:13.836"</f>
        <v>11/29/2023 20:22:13.836</v>
      </c>
      <c r="C476" t="str">
        <f t="shared" si="58"/>
        <v>FFDF53C0</v>
      </c>
      <c r="D476" t="s">
        <v>135</v>
      </c>
      <c r="E476">
        <v>31</v>
      </c>
      <c r="H476">
        <v>285</v>
      </c>
      <c r="I476" t="s">
        <v>136</v>
      </c>
      <c r="J476" t="s">
        <v>137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"20:22:13.141"</f>
        <v>20:22:13.141</v>
      </c>
      <c r="T476" t="str">
        <f>"20:22:13.041"</f>
        <v>20:22:13.041</v>
      </c>
      <c r="U476" t="str">
        <f t="shared" si="56"/>
        <v>AA0632</v>
      </c>
      <c r="V476">
        <v>0</v>
      </c>
      <c r="W476">
        <v>0</v>
      </c>
      <c r="X476">
        <v>2</v>
      </c>
      <c r="Y476">
        <v>0</v>
      </c>
      <c r="AA476">
        <v>0</v>
      </c>
      <c r="AB476">
        <v>9</v>
      </c>
      <c r="AC476">
        <v>3</v>
      </c>
      <c r="AD476">
        <v>0</v>
      </c>
      <c r="AE476">
        <v>10</v>
      </c>
      <c r="AF476" t="s">
        <v>126</v>
      </c>
      <c r="AG476">
        <v>0</v>
      </c>
      <c r="AH476">
        <v>0</v>
      </c>
      <c r="AI476">
        <v>2</v>
      </c>
      <c r="AJ476">
        <v>0</v>
      </c>
      <c r="AK476" t="s">
        <v>368</v>
      </c>
      <c r="AL476">
        <v>31.945131</v>
      </c>
      <c r="AM476" t="s">
        <v>369</v>
      </c>
      <c r="AN476">
        <v>-101.093895</v>
      </c>
      <c r="AQ476" t="s">
        <v>129</v>
      </c>
      <c r="AR476">
        <v>72</v>
      </c>
      <c r="AS476">
        <v>-44</v>
      </c>
      <c r="AT476">
        <v>-64</v>
      </c>
      <c r="BB476" t="str">
        <f t="shared" si="57"/>
        <v>1200</v>
      </c>
      <c r="BC476">
        <v>1</v>
      </c>
      <c r="BD476" t="str">
        <f t="shared" si="59"/>
        <v xml:space="preserve">N745MB  </v>
      </c>
      <c r="BE476">
        <v>1</v>
      </c>
      <c r="BG476">
        <v>0</v>
      </c>
      <c r="BH476">
        <v>0</v>
      </c>
      <c r="BI476">
        <v>0</v>
      </c>
      <c r="BL476" t="s">
        <v>130</v>
      </c>
      <c r="BM476">
        <v>1</v>
      </c>
      <c r="BN476">
        <v>0</v>
      </c>
      <c r="BO476">
        <v>0</v>
      </c>
      <c r="BP476">
        <v>0</v>
      </c>
      <c r="BT476">
        <v>0</v>
      </c>
      <c r="BU476">
        <v>0</v>
      </c>
      <c r="CE476" t="str">
        <f>"20:22:13.146"</f>
        <v>20:22:13.146</v>
      </c>
      <c r="CF476">
        <v>145510428</v>
      </c>
      <c r="CS476">
        <v>0</v>
      </c>
      <c r="CT476">
        <v>2</v>
      </c>
      <c r="CU476">
        <v>0</v>
      </c>
      <c r="CV476">
        <v>2</v>
      </c>
      <c r="CW476">
        <v>0</v>
      </c>
      <c r="CX476">
        <v>3</v>
      </c>
      <c r="CY476">
        <v>7</v>
      </c>
      <c r="CZ476" t="s">
        <v>131</v>
      </c>
      <c r="DA476">
        <v>116</v>
      </c>
      <c r="DB476">
        <v>3</v>
      </c>
      <c r="DC476" t="s">
        <v>132</v>
      </c>
      <c r="DD476" t="s">
        <v>133</v>
      </c>
      <c r="DG476">
        <v>8290643</v>
      </c>
      <c r="DI476">
        <v>0</v>
      </c>
      <c r="DJ476">
        <v>0</v>
      </c>
      <c r="DK476">
        <v>1</v>
      </c>
      <c r="DL476">
        <v>0</v>
      </c>
      <c r="DM476">
        <v>0</v>
      </c>
      <c r="DN476">
        <v>0</v>
      </c>
      <c r="DO476">
        <v>0</v>
      </c>
      <c r="DP476">
        <v>1</v>
      </c>
      <c r="DQ476">
        <v>0</v>
      </c>
      <c r="DR476">
        <v>0</v>
      </c>
      <c r="DS476">
        <v>0</v>
      </c>
    </row>
    <row r="477" spans="1:123" x14ac:dyDescent="0.25">
      <c r="A477" t="str">
        <f>"11/29/2023 20:22:13.836"</f>
        <v>11/29/2023 20:22:13.836</v>
      </c>
      <c r="C477" t="str">
        <f t="shared" si="58"/>
        <v>FFDF53C0</v>
      </c>
      <c r="D477" t="s">
        <v>123</v>
      </c>
      <c r="E477">
        <v>14</v>
      </c>
      <c r="F477">
        <v>1014</v>
      </c>
      <c r="G477" t="s">
        <v>124</v>
      </c>
      <c r="J477" t="s">
        <v>125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"20:22:13.141"</f>
        <v>20:22:13.141</v>
      </c>
      <c r="T477" t="str">
        <f>"20:22:13.041"</f>
        <v>20:22:13.041</v>
      </c>
      <c r="U477" t="str">
        <f t="shared" si="56"/>
        <v>AA0632</v>
      </c>
      <c r="V477">
        <v>0</v>
      </c>
      <c r="W477">
        <v>0</v>
      </c>
      <c r="X477">
        <v>2</v>
      </c>
      <c r="Y477">
        <v>0</v>
      </c>
      <c r="AA477">
        <v>0</v>
      </c>
      <c r="AB477">
        <v>9</v>
      </c>
      <c r="AC477">
        <v>3</v>
      </c>
      <c r="AD477">
        <v>0</v>
      </c>
      <c r="AE477">
        <v>10</v>
      </c>
      <c r="AF477" t="s">
        <v>126</v>
      </c>
      <c r="AG477">
        <v>0</v>
      </c>
      <c r="AH477">
        <v>0</v>
      </c>
      <c r="AI477">
        <v>2</v>
      </c>
      <c r="AJ477">
        <v>0</v>
      </c>
      <c r="AK477" t="s">
        <v>368</v>
      </c>
      <c r="AL477">
        <v>31.945131</v>
      </c>
      <c r="AM477" t="s">
        <v>369</v>
      </c>
      <c r="AN477">
        <v>-101.093895</v>
      </c>
      <c r="AQ477" t="s">
        <v>129</v>
      </c>
      <c r="AR477">
        <v>72</v>
      </c>
      <c r="AS477">
        <v>-44</v>
      </c>
      <c r="AT477">
        <v>-64</v>
      </c>
      <c r="BB477" t="str">
        <f t="shared" si="57"/>
        <v>1200</v>
      </c>
      <c r="BC477">
        <v>1</v>
      </c>
      <c r="BD477" t="str">
        <f t="shared" si="59"/>
        <v xml:space="preserve">N745MB  </v>
      </c>
      <c r="BE477">
        <v>1</v>
      </c>
      <c r="BG477">
        <v>0</v>
      </c>
      <c r="BH477">
        <v>0</v>
      </c>
      <c r="BI477">
        <v>0</v>
      </c>
      <c r="BL477" t="s">
        <v>130</v>
      </c>
      <c r="BM477">
        <v>1</v>
      </c>
      <c r="BN477">
        <v>0</v>
      </c>
      <c r="BO477">
        <v>0</v>
      </c>
      <c r="BP477">
        <v>0</v>
      </c>
      <c r="BT477">
        <v>0</v>
      </c>
      <c r="BU477">
        <v>0</v>
      </c>
      <c r="CE477" t="str">
        <f>"20:22:13.146"</f>
        <v>20:22:13.146</v>
      </c>
      <c r="CF477">
        <v>145510428</v>
      </c>
      <c r="CS477">
        <v>0</v>
      </c>
      <c r="CT477">
        <v>2</v>
      </c>
      <c r="CU477">
        <v>0</v>
      </c>
      <c r="CV477">
        <v>2</v>
      </c>
      <c r="CW477">
        <v>0</v>
      </c>
      <c r="CX477">
        <v>3</v>
      </c>
      <c r="CY477">
        <v>7</v>
      </c>
      <c r="CZ477" t="s">
        <v>131</v>
      </c>
      <c r="DA477">
        <v>116</v>
      </c>
      <c r="DB477">
        <v>3</v>
      </c>
      <c r="DC477" t="s">
        <v>132</v>
      </c>
      <c r="DD477" t="s">
        <v>133</v>
      </c>
      <c r="DG477">
        <v>8290643</v>
      </c>
      <c r="DI477">
        <v>0</v>
      </c>
      <c r="DJ477">
        <v>0</v>
      </c>
      <c r="DK477">
        <v>1</v>
      </c>
      <c r="DL477">
        <v>0</v>
      </c>
      <c r="DM477">
        <v>0</v>
      </c>
      <c r="DN477">
        <v>0</v>
      </c>
      <c r="DO477">
        <v>0</v>
      </c>
      <c r="DP477">
        <v>1</v>
      </c>
      <c r="DQ477">
        <v>0</v>
      </c>
      <c r="DR477">
        <v>0</v>
      </c>
      <c r="DS477">
        <v>0</v>
      </c>
    </row>
    <row r="478" spans="1:123" x14ac:dyDescent="0.25">
      <c r="A478" t="str">
        <f>"11/29/2023 20:22:15.414"</f>
        <v>11/29/2023 20:22:15.414</v>
      </c>
      <c r="C478" t="str">
        <f t="shared" si="58"/>
        <v>FFDF53C0</v>
      </c>
      <c r="D478" t="s">
        <v>135</v>
      </c>
      <c r="E478">
        <v>31</v>
      </c>
      <c r="H478">
        <v>285</v>
      </c>
      <c r="I478" t="s">
        <v>136</v>
      </c>
      <c r="J478" t="s">
        <v>137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"20:22:15.008"</f>
        <v>20:22:15.008</v>
      </c>
      <c r="T478" t="str">
        <f>"20:22:14.908"</f>
        <v>20:22:14.908</v>
      </c>
      <c r="U478" t="str">
        <f t="shared" si="56"/>
        <v>AA0632</v>
      </c>
      <c r="V478">
        <v>0</v>
      </c>
      <c r="W478">
        <v>0</v>
      </c>
      <c r="X478">
        <v>2</v>
      </c>
      <c r="Y478">
        <v>0</v>
      </c>
      <c r="AA478">
        <v>0</v>
      </c>
      <c r="AB478">
        <v>9</v>
      </c>
      <c r="AC478">
        <v>3</v>
      </c>
      <c r="AD478">
        <v>0</v>
      </c>
      <c r="AE478">
        <v>10</v>
      </c>
      <c r="AF478" t="s">
        <v>126</v>
      </c>
      <c r="AG478">
        <v>0</v>
      </c>
      <c r="AH478">
        <v>0</v>
      </c>
      <c r="AI478">
        <v>2</v>
      </c>
      <c r="AJ478">
        <v>0</v>
      </c>
      <c r="AK478" t="s">
        <v>370</v>
      </c>
      <c r="AL478">
        <v>31.944766000000001</v>
      </c>
      <c r="AM478" t="s">
        <v>371</v>
      </c>
      <c r="AN478">
        <v>-101.09312300000001</v>
      </c>
      <c r="AQ478" t="s">
        <v>129</v>
      </c>
      <c r="AR478">
        <v>73</v>
      </c>
      <c r="AS478">
        <v>-44</v>
      </c>
      <c r="AT478">
        <v>-320</v>
      </c>
      <c r="BB478" t="str">
        <f t="shared" si="57"/>
        <v>1200</v>
      </c>
      <c r="BC478">
        <v>1</v>
      </c>
      <c r="BD478" t="str">
        <f t="shared" si="59"/>
        <v xml:space="preserve">N745MB  </v>
      </c>
      <c r="BE478">
        <v>1</v>
      </c>
      <c r="BG478">
        <v>0</v>
      </c>
      <c r="BH478">
        <v>0</v>
      </c>
      <c r="BI478">
        <v>0</v>
      </c>
      <c r="BL478" t="s">
        <v>130</v>
      </c>
      <c r="BM478">
        <v>1</v>
      </c>
      <c r="BN478">
        <v>0</v>
      </c>
      <c r="BO478">
        <v>0</v>
      </c>
      <c r="BP478">
        <v>0</v>
      </c>
      <c r="BT478">
        <v>0</v>
      </c>
      <c r="BU478">
        <v>0</v>
      </c>
      <c r="CE478" t="str">
        <f>"20:22:15.015"</f>
        <v>20:22:15.015</v>
      </c>
      <c r="CF478">
        <v>15362380</v>
      </c>
      <c r="CS478">
        <v>0</v>
      </c>
      <c r="CT478">
        <v>2</v>
      </c>
      <c r="CU478">
        <v>0</v>
      </c>
      <c r="CV478">
        <v>2</v>
      </c>
      <c r="CW478">
        <v>0</v>
      </c>
      <c r="CX478">
        <v>3</v>
      </c>
      <c r="CY478">
        <v>7</v>
      </c>
      <c r="CZ478" t="s">
        <v>131</v>
      </c>
      <c r="DA478">
        <v>116</v>
      </c>
      <c r="DB478">
        <v>3</v>
      </c>
      <c r="DC478" t="s">
        <v>132</v>
      </c>
      <c r="DD478" t="s">
        <v>133</v>
      </c>
      <c r="DG478">
        <v>8291631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1</v>
      </c>
      <c r="DQ478">
        <v>0</v>
      </c>
      <c r="DR478">
        <v>0</v>
      </c>
      <c r="DS478">
        <v>0</v>
      </c>
    </row>
    <row r="479" spans="1:123" x14ac:dyDescent="0.25">
      <c r="A479" t="str">
        <f>"11/29/2023 20:22:15.414"</f>
        <v>11/29/2023 20:22:15.414</v>
      </c>
      <c r="C479" t="str">
        <f t="shared" si="58"/>
        <v>FFDF53C0</v>
      </c>
      <c r="D479" t="s">
        <v>123</v>
      </c>
      <c r="E479">
        <v>14</v>
      </c>
      <c r="F479">
        <v>1014</v>
      </c>
      <c r="G479" t="s">
        <v>124</v>
      </c>
      <c r="J479" t="s">
        <v>125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"20:22:15.008"</f>
        <v>20:22:15.008</v>
      </c>
      <c r="T479" t="str">
        <f>"20:22:14.908"</f>
        <v>20:22:14.908</v>
      </c>
      <c r="U479" t="str">
        <f t="shared" si="56"/>
        <v>AA0632</v>
      </c>
      <c r="V479">
        <v>0</v>
      </c>
      <c r="W479">
        <v>0</v>
      </c>
      <c r="X479">
        <v>2</v>
      </c>
      <c r="Y479">
        <v>0</v>
      </c>
      <c r="AA479">
        <v>0</v>
      </c>
      <c r="AB479">
        <v>9</v>
      </c>
      <c r="AC479">
        <v>3</v>
      </c>
      <c r="AD479">
        <v>0</v>
      </c>
      <c r="AE479">
        <v>10</v>
      </c>
      <c r="AF479" t="s">
        <v>126</v>
      </c>
      <c r="AG479">
        <v>0</v>
      </c>
      <c r="AH479">
        <v>0</v>
      </c>
      <c r="AI479">
        <v>2</v>
      </c>
      <c r="AJ479">
        <v>0</v>
      </c>
      <c r="AK479" t="s">
        <v>370</v>
      </c>
      <c r="AL479">
        <v>31.944766000000001</v>
      </c>
      <c r="AM479" t="s">
        <v>371</v>
      </c>
      <c r="AN479">
        <v>-101.09312300000001</v>
      </c>
      <c r="AQ479" t="s">
        <v>129</v>
      </c>
      <c r="AR479">
        <v>73</v>
      </c>
      <c r="AS479">
        <v>-44</v>
      </c>
      <c r="AT479">
        <v>-320</v>
      </c>
      <c r="BB479" t="str">
        <f t="shared" si="57"/>
        <v>1200</v>
      </c>
      <c r="BC479">
        <v>1</v>
      </c>
      <c r="BD479" t="str">
        <f t="shared" si="59"/>
        <v xml:space="preserve">N745MB  </v>
      </c>
      <c r="BE479">
        <v>1</v>
      </c>
      <c r="BG479">
        <v>0</v>
      </c>
      <c r="BH479">
        <v>0</v>
      </c>
      <c r="BI479">
        <v>0</v>
      </c>
      <c r="BL479" t="s">
        <v>130</v>
      </c>
      <c r="BM479">
        <v>1</v>
      </c>
      <c r="BN479">
        <v>0</v>
      </c>
      <c r="BO479">
        <v>0</v>
      </c>
      <c r="BP479">
        <v>0</v>
      </c>
      <c r="BT479">
        <v>0</v>
      </c>
      <c r="BU479">
        <v>0</v>
      </c>
      <c r="CE479" t="str">
        <f>"20:22:15.015"</f>
        <v>20:22:15.015</v>
      </c>
      <c r="CF479">
        <v>15362380</v>
      </c>
      <c r="CS479">
        <v>0</v>
      </c>
      <c r="CT479">
        <v>2</v>
      </c>
      <c r="CU479">
        <v>0</v>
      </c>
      <c r="CV479">
        <v>2</v>
      </c>
      <c r="CW479">
        <v>0</v>
      </c>
      <c r="CX479">
        <v>3</v>
      </c>
      <c r="CY479">
        <v>7</v>
      </c>
      <c r="CZ479" t="s">
        <v>131</v>
      </c>
      <c r="DA479">
        <v>116</v>
      </c>
      <c r="DB479">
        <v>3</v>
      </c>
      <c r="DC479" t="s">
        <v>132</v>
      </c>
      <c r="DD479" t="s">
        <v>133</v>
      </c>
      <c r="DG479">
        <v>8291631</v>
      </c>
      <c r="DI479">
        <v>0</v>
      </c>
      <c r="DJ479">
        <v>0</v>
      </c>
      <c r="DK479">
        <v>1</v>
      </c>
      <c r="DL479">
        <v>0</v>
      </c>
      <c r="DM479">
        <v>0</v>
      </c>
      <c r="DN479">
        <v>0</v>
      </c>
      <c r="DO479">
        <v>0</v>
      </c>
      <c r="DP479">
        <v>1</v>
      </c>
      <c r="DQ479">
        <v>0</v>
      </c>
      <c r="DR479">
        <v>0</v>
      </c>
      <c r="DS479">
        <v>0</v>
      </c>
    </row>
    <row r="480" spans="1:123" x14ac:dyDescent="0.25">
      <c r="A480" t="str">
        <f>"11/29/2023 20:22:15.414"</f>
        <v>11/29/2023 20:22:15.414</v>
      </c>
      <c r="C480" t="str">
        <f t="shared" si="58"/>
        <v>FFDF53C0</v>
      </c>
      <c r="D480" t="s">
        <v>123</v>
      </c>
      <c r="E480">
        <v>1</v>
      </c>
      <c r="F480">
        <v>1001</v>
      </c>
      <c r="G480" t="s">
        <v>134</v>
      </c>
      <c r="J480" t="s">
        <v>125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"20:22:15.008"</f>
        <v>20:22:15.008</v>
      </c>
      <c r="T480" t="str">
        <f>"20:22:14.908"</f>
        <v>20:22:14.908</v>
      </c>
      <c r="U480" t="str">
        <f t="shared" si="56"/>
        <v>AA0632</v>
      </c>
      <c r="V480">
        <v>0</v>
      </c>
      <c r="W480">
        <v>0</v>
      </c>
      <c r="X480">
        <v>2</v>
      </c>
      <c r="Y480">
        <v>0</v>
      </c>
      <c r="AA480">
        <v>0</v>
      </c>
      <c r="AB480">
        <v>9</v>
      </c>
      <c r="AC480">
        <v>3</v>
      </c>
      <c r="AD480">
        <v>0</v>
      </c>
      <c r="AE480">
        <v>10</v>
      </c>
      <c r="AF480" t="s">
        <v>126</v>
      </c>
      <c r="AG480">
        <v>0</v>
      </c>
      <c r="AH480">
        <v>0</v>
      </c>
      <c r="AI480">
        <v>2</v>
      </c>
      <c r="AJ480">
        <v>0</v>
      </c>
      <c r="AK480" t="s">
        <v>370</v>
      </c>
      <c r="AL480">
        <v>31.944766000000001</v>
      </c>
      <c r="AM480" t="s">
        <v>371</v>
      </c>
      <c r="AN480">
        <v>-101.09312300000001</v>
      </c>
      <c r="AQ480" t="s">
        <v>129</v>
      </c>
      <c r="AR480">
        <v>73</v>
      </c>
      <c r="AS480">
        <v>-44</v>
      </c>
      <c r="AT480">
        <v>-320</v>
      </c>
      <c r="BB480" t="str">
        <f t="shared" si="57"/>
        <v>1200</v>
      </c>
      <c r="BC480">
        <v>1</v>
      </c>
      <c r="BD480" t="str">
        <f t="shared" si="59"/>
        <v xml:space="preserve">N745MB  </v>
      </c>
      <c r="BE480">
        <v>1</v>
      </c>
      <c r="BG480">
        <v>0</v>
      </c>
      <c r="BH480">
        <v>0</v>
      </c>
      <c r="BI480">
        <v>0</v>
      </c>
      <c r="BL480" t="s">
        <v>130</v>
      </c>
      <c r="BM480">
        <v>1</v>
      </c>
      <c r="BN480">
        <v>0</v>
      </c>
      <c r="BO480">
        <v>0</v>
      </c>
      <c r="BP480">
        <v>0</v>
      </c>
      <c r="BT480">
        <v>0</v>
      </c>
      <c r="BU480">
        <v>0</v>
      </c>
      <c r="CE480" t="str">
        <f>"20:22:15.015"</f>
        <v>20:22:15.015</v>
      </c>
      <c r="CF480">
        <v>15362380</v>
      </c>
      <c r="CS480">
        <v>0</v>
      </c>
      <c r="CT480">
        <v>2</v>
      </c>
      <c r="CU480">
        <v>0</v>
      </c>
      <c r="CV480">
        <v>2</v>
      </c>
      <c r="CW480">
        <v>0</v>
      </c>
      <c r="CX480">
        <v>3</v>
      </c>
      <c r="CY480">
        <v>7</v>
      </c>
      <c r="CZ480" t="s">
        <v>131</v>
      </c>
      <c r="DA480">
        <v>116</v>
      </c>
      <c r="DB480">
        <v>3</v>
      </c>
      <c r="DC480" t="s">
        <v>132</v>
      </c>
      <c r="DD480" t="s">
        <v>133</v>
      </c>
      <c r="DG480">
        <v>8291631</v>
      </c>
      <c r="DI480">
        <v>0</v>
      </c>
      <c r="DJ480">
        <v>0</v>
      </c>
      <c r="DK480">
        <v>1</v>
      </c>
      <c r="DL480">
        <v>0</v>
      </c>
      <c r="DM480">
        <v>0</v>
      </c>
      <c r="DN480">
        <v>0</v>
      </c>
      <c r="DO480">
        <v>0</v>
      </c>
      <c r="DP480">
        <v>1</v>
      </c>
      <c r="DQ480">
        <v>0</v>
      </c>
      <c r="DR480">
        <v>0</v>
      </c>
      <c r="DS480">
        <v>0</v>
      </c>
    </row>
    <row r="481" spans="1:123" x14ac:dyDescent="0.25">
      <c r="A481" t="str">
        <f>"11/29/2023 20:22:15.414"</f>
        <v>11/29/2023 20:22:15.414</v>
      </c>
      <c r="C481" t="str">
        <f t="shared" si="58"/>
        <v>FFDF53C0</v>
      </c>
      <c r="D481" t="s">
        <v>138</v>
      </c>
      <c r="E481">
        <v>3</v>
      </c>
      <c r="H481">
        <v>160</v>
      </c>
      <c r="I481" t="s">
        <v>124</v>
      </c>
      <c r="J481" t="s">
        <v>139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"20:22:15.008"</f>
        <v>20:22:15.008</v>
      </c>
      <c r="T481" t="str">
        <f>"20:22:14.908"</f>
        <v>20:22:14.908</v>
      </c>
      <c r="U481" t="str">
        <f t="shared" si="56"/>
        <v>AA0632</v>
      </c>
      <c r="V481">
        <v>0</v>
      </c>
      <c r="W481">
        <v>0</v>
      </c>
      <c r="X481">
        <v>2</v>
      </c>
      <c r="Y481">
        <v>0</v>
      </c>
      <c r="AA481">
        <v>0</v>
      </c>
      <c r="AB481">
        <v>9</v>
      </c>
      <c r="AC481">
        <v>3</v>
      </c>
      <c r="AD481">
        <v>0</v>
      </c>
      <c r="AE481">
        <v>10</v>
      </c>
      <c r="AF481" t="s">
        <v>126</v>
      </c>
      <c r="AG481">
        <v>0</v>
      </c>
      <c r="AH481">
        <v>0</v>
      </c>
      <c r="AI481">
        <v>2</v>
      </c>
      <c r="AJ481">
        <v>0</v>
      </c>
      <c r="AK481" t="s">
        <v>370</v>
      </c>
      <c r="AL481">
        <v>31.944766000000001</v>
      </c>
      <c r="AM481" t="s">
        <v>371</v>
      </c>
      <c r="AN481">
        <v>-101.09312300000001</v>
      </c>
      <c r="AQ481" t="s">
        <v>129</v>
      </c>
      <c r="AR481">
        <v>73</v>
      </c>
      <c r="AS481">
        <v>-44</v>
      </c>
      <c r="AT481">
        <v>-320</v>
      </c>
      <c r="BB481" t="str">
        <f t="shared" si="57"/>
        <v>1200</v>
      </c>
      <c r="BC481">
        <v>1</v>
      </c>
      <c r="BD481" t="str">
        <f t="shared" si="59"/>
        <v xml:space="preserve">N745MB  </v>
      </c>
      <c r="BE481">
        <v>1</v>
      </c>
      <c r="BG481">
        <v>0</v>
      </c>
      <c r="BH481">
        <v>0</v>
      </c>
      <c r="BI481">
        <v>0</v>
      </c>
      <c r="BL481" t="s">
        <v>130</v>
      </c>
      <c r="BM481">
        <v>1</v>
      </c>
      <c r="BN481">
        <v>0</v>
      </c>
      <c r="BO481">
        <v>0</v>
      </c>
      <c r="BP481">
        <v>0</v>
      </c>
      <c r="BT481">
        <v>0</v>
      </c>
      <c r="BU481">
        <v>0</v>
      </c>
      <c r="CE481" t="str">
        <f>"20:22:15.015"</f>
        <v>20:22:15.015</v>
      </c>
      <c r="CF481">
        <v>15362380</v>
      </c>
      <c r="CS481">
        <v>0</v>
      </c>
      <c r="CT481">
        <v>2</v>
      </c>
      <c r="CU481">
        <v>0</v>
      </c>
      <c r="CV481">
        <v>2</v>
      </c>
      <c r="CW481">
        <v>0</v>
      </c>
      <c r="CX481">
        <v>3</v>
      </c>
      <c r="CY481">
        <v>7</v>
      </c>
      <c r="CZ481" t="s">
        <v>131</v>
      </c>
      <c r="DA481">
        <v>116</v>
      </c>
      <c r="DB481">
        <v>3</v>
      </c>
      <c r="DC481" t="s">
        <v>132</v>
      </c>
      <c r="DD481" t="s">
        <v>133</v>
      </c>
      <c r="DG481">
        <v>8291631</v>
      </c>
      <c r="DI481">
        <v>0</v>
      </c>
      <c r="DJ481">
        <v>0</v>
      </c>
      <c r="DK481">
        <v>1</v>
      </c>
      <c r="DL481">
        <v>0</v>
      </c>
      <c r="DM481">
        <v>0</v>
      </c>
      <c r="DN481">
        <v>0</v>
      </c>
      <c r="DO481">
        <v>0</v>
      </c>
      <c r="DP481">
        <v>1</v>
      </c>
      <c r="DQ481">
        <v>0</v>
      </c>
      <c r="DR481">
        <v>0</v>
      </c>
      <c r="DS481">
        <v>0</v>
      </c>
    </row>
    <row r="482" spans="1:123" x14ac:dyDescent="0.25">
      <c r="A482" t="str">
        <f>"11/29/2023 20:22:16.992"</f>
        <v>11/29/2023 20:22:16.992</v>
      </c>
      <c r="C482" t="str">
        <f t="shared" si="58"/>
        <v>FFDF53C0</v>
      </c>
      <c r="D482" t="s">
        <v>135</v>
      </c>
      <c r="E482">
        <v>31</v>
      </c>
      <c r="H482">
        <v>285</v>
      </c>
      <c r="I482" t="s">
        <v>136</v>
      </c>
      <c r="J482" t="s">
        <v>137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"20:22:16.609"</f>
        <v>20:22:16.609</v>
      </c>
      <c r="T482" t="str">
        <f>"20:22:16.509"</f>
        <v>20:22:16.509</v>
      </c>
      <c r="U482" t="str">
        <f t="shared" si="56"/>
        <v>AA0632</v>
      </c>
      <c r="V482">
        <v>0</v>
      </c>
      <c r="W482">
        <v>0</v>
      </c>
      <c r="X482">
        <v>2</v>
      </c>
      <c r="Y482">
        <v>0</v>
      </c>
      <c r="AA482">
        <v>0</v>
      </c>
      <c r="AB482">
        <v>9</v>
      </c>
      <c r="AC482">
        <v>3</v>
      </c>
      <c r="AD482">
        <v>0</v>
      </c>
      <c r="AE482">
        <v>10</v>
      </c>
      <c r="AF482" t="s">
        <v>126</v>
      </c>
      <c r="AG482">
        <v>0</v>
      </c>
      <c r="AH482">
        <v>0</v>
      </c>
      <c r="AI482">
        <v>2</v>
      </c>
      <c r="AJ482">
        <v>0</v>
      </c>
      <c r="AK482" t="s">
        <v>372</v>
      </c>
      <c r="AL482">
        <v>31.944444000000001</v>
      </c>
      <c r="AM482" t="s">
        <v>373</v>
      </c>
      <c r="AN482">
        <v>-101.09245799999999</v>
      </c>
      <c r="AQ482" t="s">
        <v>129</v>
      </c>
      <c r="AR482">
        <v>73</v>
      </c>
      <c r="AS482">
        <v>-44</v>
      </c>
      <c r="AT482">
        <v>-256</v>
      </c>
      <c r="BB482" t="str">
        <f t="shared" si="57"/>
        <v>1200</v>
      </c>
      <c r="BC482">
        <v>1</v>
      </c>
      <c r="BD482" t="str">
        <f t="shared" si="59"/>
        <v xml:space="preserve">N745MB  </v>
      </c>
      <c r="BE482">
        <v>1</v>
      </c>
      <c r="BG482">
        <v>0</v>
      </c>
      <c r="BH482">
        <v>0</v>
      </c>
      <c r="BI482">
        <v>0</v>
      </c>
      <c r="BL482" t="s">
        <v>130</v>
      </c>
      <c r="BM482">
        <v>1</v>
      </c>
      <c r="BN482">
        <v>0</v>
      </c>
      <c r="BO482">
        <v>0</v>
      </c>
      <c r="BP482">
        <v>0</v>
      </c>
      <c r="BT482">
        <v>0</v>
      </c>
      <c r="BU482">
        <v>0</v>
      </c>
      <c r="CE482" t="str">
        <f>"20:22:16.611"</f>
        <v>20:22:16.611</v>
      </c>
      <c r="CF482">
        <v>611254317</v>
      </c>
      <c r="CS482">
        <v>0</v>
      </c>
      <c r="CT482">
        <v>2</v>
      </c>
      <c r="CU482">
        <v>0</v>
      </c>
      <c r="CV482">
        <v>2</v>
      </c>
      <c r="CW482">
        <v>0</v>
      </c>
      <c r="CX482">
        <v>2</v>
      </c>
      <c r="CY482">
        <v>7</v>
      </c>
      <c r="CZ482" t="s">
        <v>131</v>
      </c>
      <c r="DA482">
        <v>116</v>
      </c>
      <c r="DB482">
        <v>3</v>
      </c>
      <c r="DC482" t="s">
        <v>132</v>
      </c>
      <c r="DD482" t="s">
        <v>133</v>
      </c>
      <c r="DG482">
        <v>8292584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1</v>
      </c>
      <c r="DQ482">
        <v>0</v>
      </c>
      <c r="DR482">
        <v>0</v>
      </c>
      <c r="DS482">
        <v>0</v>
      </c>
    </row>
    <row r="483" spans="1:123" x14ac:dyDescent="0.25">
      <c r="A483" t="str">
        <f>"11/29/2023 20:22:16.992"</f>
        <v>11/29/2023 20:22:16.992</v>
      </c>
      <c r="C483" t="str">
        <f t="shared" si="58"/>
        <v>FFDF53C0</v>
      </c>
      <c r="D483" t="s">
        <v>123</v>
      </c>
      <c r="E483">
        <v>14</v>
      </c>
      <c r="F483">
        <v>1014</v>
      </c>
      <c r="G483" t="s">
        <v>124</v>
      </c>
      <c r="J483" t="s">
        <v>125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"20:22:16.609"</f>
        <v>20:22:16.609</v>
      </c>
      <c r="T483" t="str">
        <f>"20:22:16.509"</f>
        <v>20:22:16.509</v>
      </c>
      <c r="U483" t="str">
        <f t="shared" si="56"/>
        <v>AA0632</v>
      </c>
      <c r="V483">
        <v>0</v>
      </c>
      <c r="W483">
        <v>0</v>
      </c>
      <c r="X483">
        <v>2</v>
      </c>
      <c r="Y483">
        <v>0</v>
      </c>
      <c r="AA483">
        <v>0</v>
      </c>
      <c r="AB483">
        <v>9</v>
      </c>
      <c r="AC483">
        <v>3</v>
      </c>
      <c r="AD483">
        <v>0</v>
      </c>
      <c r="AE483">
        <v>10</v>
      </c>
      <c r="AF483" t="s">
        <v>126</v>
      </c>
      <c r="AG483">
        <v>0</v>
      </c>
      <c r="AH483">
        <v>0</v>
      </c>
      <c r="AI483">
        <v>2</v>
      </c>
      <c r="AJ483">
        <v>0</v>
      </c>
      <c r="AK483" t="s">
        <v>372</v>
      </c>
      <c r="AL483">
        <v>31.944444000000001</v>
      </c>
      <c r="AM483" t="s">
        <v>373</v>
      </c>
      <c r="AN483">
        <v>-101.09245799999999</v>
      </c>
      <c r="AQ483" t="s">
        <v>129</v>
      </c>
      <c r="AR483">
        <v>73</v>
      </c>
      <c r="AS483">
        <v>-44</v>
      </c>
      <c r="AT483">
        <v>-256</v>
      </c>
      <c r="BB483" t="str">
        <f t="shared" si="57"/>
        <v>1200</v>
      </c>
      <c r="BC483">
        <v>1</v>
      </c>
      <c r="BD483" t="str">
        <f t="shared" si="59"/>
        <v xml:space="preserve">N745MB  </v>
      </c>
      <c r="BE483">
        <v>1</v>
      </c>
      <c r="BG483">
        <v>0</v>
      </c>
      <c r="BH483">
        <v>0</v>
      </c>
      <c r="BI483">
        <v>0</v>
      </c>
      <c r="BL483" t="s">
        <v>130</v>
      </c>
      <c r="BM483">
        <v>1</v>
      </c>
      <c r="BN483">
        <v>0</v>
      </c>
      <c r="BO483">
        <v>0</v>
      </c>
      <c r="BP483">
        <v>0</v>
      </c>
      <c r="BT483">
        <v>0</v>
      </c>
      <c r="BU483">
        <v>0</v>
      </c>
      <c r="CE483" t="str">
        <f>"20:22:16.611"</f>
        <v>20:22:16.611</v>
      </c>
      <c r="CF483">
        <v>611254317</v>
      </c>
      <c r="CS483">
        <v>0</v>
      </c>
      <c r="CT483">
        <v>2</v>
      </c>
      <c r="CU483">
        <v>0</v>
      </c>
      <c r="CV483">
        <v>2</v>
      </c>
      <c r="CW483">
        <v>0</v>
      </c>
      <c r="CX483">
        <v>2</v>
      </c>
      <c r="CY483">
        <v>7</v>
      </c>
      <c r="CZ483" t="s">
        <v>131</v>
      </c>
      <c r="DA483">
        <v>116</v>
      </c>
      <c r="DB483">
        <v>3</v>
      </c>
      <c r="DC483" t="s">
        <v>132</v>
      </c>
      <c r="DD483" t="s">
        <v>133</v>
      </c>
      <c r="DG483">
        <v>8292584</v>
      </c>
      <c r="DI483">
        <v>0</v>
      </c>
      <c r="DJ483">
        <v>0</v>
      </c>
      <c r="DK483">
        <v>1</v>
      </c>
      <c r="DL483">
        <v>0</v>
      </c>
      <c r="DM483">
        <v>0</v>
      </c>
      <c r="DN483">
        <v>0</v>
      </c>
      <c r="DO483">
        <v>0</v>
      </c>
      <c r="DP483">
        <v>1</v>
      </c>
      <c r="DQ483">
        <v>0</v>
      </c>
      <c r="DR483">
        <v>0</v>
      </c>
      <c r="DS483">
        <v>0</v>
      </c>
    </row>
    <row r="484" spans="1:123" x14ac:dyDescent="0.25">
      <c r="A484" t="str">
        <f>"11/29/2023 20:22:16.992"</f>
        <v>11/29/2023 20:22:16.992</v>
      </c>
      <c r="C484" t="str">
        <f t="shared" ref="C484:C515" si="60">"FFDF53C0"</f>
        <v>FFDF53C0</v>
      </c>
      <c r="D484" t="s">
        <v>123</v>
      </c>
      <c r="E484">
        <v>1</v>
      </c>
      <c r="F484">
        <v>1001</v>
      </c>
      <c r="G484" t="s">
        <v>134</v>
      </c>
      <c r="J484" t="s">
        <v>125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"20:22:16.609"</f>
        <v>20:22:16.609</v>
      </c>
      <c r="T484" t="str">
        <f>"20:22:16.509"</f>
        <v>20:22:16.509</v>
      </c>
      <c r="U484" t="str">
        <f t="shared" si="56"/>
        <v>AA0632</v>
      </c>
      <c r="V484">
        <v>0</v>
      </c>
      <c r="W484">
        <v>0</v>
      </c>
      <c r="X484">
        <v>2</v>
      </c>
      <c r="Y484">
        <v>0</v>
      </c>
      <c r="AA484">
        <v>0</v>
      </c>
      <c r="AB484">
        <v>9</v>
      </c>
      <c r="AC484">
        <v>3</v>
      </c>
      <c r="AD484">
        <v>0</v>
      </c>
      <c r="AE484">
        <v>10</v>
      </c>
      <c r="AF484" t="s">
        <v>126</v>
      </c>
      <c r="AG484">
        <v>0</v>
      </c>
      <c r="AH484">
        <v>0</v>
      </c>
      <c r="AI484">
        <v>2</v>
      </c>
      <c r="AJ484">
        <v>0</v>
      </c>
      <c r="AK484" t="s">
        <v>372</v>
      </c>
      <c r="AL484">
        <v>31.944444000000001</v>
      </c>
      <c r="AM484" t="s">
        <v>373</v>
      </c>
      <c r="AN484">
        <v>-101.09245799999999</v>
      </c>
      <c r="AQ484" t="s">
        <v>129</v>
      </c>
      <c r="AR484">
        <v>73</v>
      </c>
      <c r="AS484">
        <v>-44</v>
      </c>
      <c r="AT484">
        <v>-256</v>
      </c>
      <c r="BB484" t="str">
        <f t="shared" si="57"/>
        <v>1200</v>
      </c>
      <c r="BC484">
        <v>1</v>
      </c>
      <c r="BD484" t="str">
        <f t="shared" si="59"/>
        <v xml:space="preserve">N745MB  </v>
      </c>
      <c r="BE484">
        <v>1</v>
      </c>
      <c r="BG484">
        <v>0</v>
      </c>
      <c r="BH484">
        <v>0</v>
      </c>
      <c r="BI484">
        <v>0</v>
      </c>
      <c r="BL484" t="s">
        <v>130</v>
      </c>
      <c r="BM484">
        <v>1</v>
      </c>
      <c r="BN484">
        <v>0</v>
      </c>
      <c r="BO484">
        <v>0</v>
      </c>
      <c r="BP484">
        <v>0</v>
      </c>
      <c r="BT484">
        <v>0</v>
      </c>
      <c r="BU484">
        <v>0</v>
      </c>
      <c r="CE484" t="str">
        <f>"20:22:16.611"</f>
        <v>20:22:16.611</v>
      </c>
      <c r="CF484">
        <v>611254317</v>
      </c>
      <c r="CS484">
        <v>0</v>
      </c>
      <c r="CT484">
        <v>2</v>
      </c>
      <c r="CU484">
        <v>0</v>
      </c>
      <c r="CV484">
        <v>2</v>
      </c>
      <c r="CW484">
        <v>0</v>
      </c>
      <c r="CX484">
        <v>2</v>
      </c>
      <c r="CY484">
        <v>7</v>
      </c>
      <c r="CZ484" t="s">
        <v>131</v>
      </c>
      <c r="DA484">
        <v>116</v>
      </c>
      <c r="DB484">
        <v>3</v>
      </c>
      <c r="DC484" t="s">
        <v>132</v>
      </c>
      <c r="DD484" t="s">
        <v>133</v>
      </c>
      <c r="DG484">
        <v>8292584</v>
      </c>
      <c r="DI484">
        <v>0</v>
      </c>
      <c r="DJ484">
        <v>0</v>
      </c>
      <c r="DK484">
        <v>1</v>
      </c>
      <c r="DL484">
        <v>0</v>
      </c>
      <c r="DM484">
        <v>0</v>
      </c>
      <c r="DN484">
        <v>0</v>
      </c>
      <c r="DO484">
        <v>0</v>
      </c>
      <c r="DP484">
        <v>1</v>
      </c>
      <c r="DQ484">
        <v>0</v>
      </c>
      <c r="DR484">
        <v>0</v>
      </c>
      <c r="DS484">
        <v>0</v>
      </c>
    </row>
    <row r="485" spans="1:123" x14ac:dyDescent="0.25">
      <c r="A485" t="str">
        <f>"11/29/2023 20:22:16.992"</f>
        <v>11/29/2023 20:22:16.992</v>
      </c>
      <c r="C485" t="str">
        <f t="shared" si="60"/>
        <v>FFDF53C0</v>
      </c>
      <c r="D485" t="s">
        <v>138</v>
      </c>
      <c r="E485">
        <v>3</v>
      </c>
      <c r="H485">
        <v>160</v>
      </c>
      <c r="I485" t="s">
        <v>124</v>
      </c>
      <c r="J485" t="s">
        <v>139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"20:22:16.609"</f>
        <v>20:22:16.609</v>
      </c>
      <c r="T485" t="str">
        <f>"20:22:16.509"</f>
        <v>20:22:16.509</v>
      </c>
      <c r="U485" t="str">
        <f t="shared" si="56"/>
        <v>AA0632</v>
      </c>
      <c r="V485">
        <v>0</v>
      </c>
      <c r="W485">
        <v>0</v>
      </c>
      <c r="X485">
        <v>2</v>
      </c>
      <c r="Y485">
        <v>0</v>
      </c>
      <c r="AA485">
        <v>0</v>
      </c>
      <c r="AB485">
        <v>9</v>
      </c>
      <c r="AC485">
        <v>3</v>
      </c>
      <c r="AD485">
        <v>0</v>
      </c>
      <c r="AE485">
        <v>10</v>
      </c>
      <c r="AF485" t="s">
        <v>126</v>
      </c>
      <c r="AG485">
        <v>0</v>
      </c>
      <c r="AH485">
        <v>0</v>
      </c>
      <c r="AI485">
        <v>2</v>
      </c>
      <c r="AJ485">
        <v>0</v>
      </c>
      <c r="AK485" t="s">
        <v>372</v>
      </c>
      <c r="AL485">
        <v>31.944444000000001</v>
      </c>
      <c r="AM485" t="s">
        <v>373</v>
      </c>
      <c r="AN485">
        <v>-101.09245799999999</v>
      </c>
      <c r="AQ485" t="s">
        <v>129</v>
      </c>
      <c r="AR485">
        <v>73</v>
      </c>
      <c r="AS485">
        <v>-44</v>
      </c>
      <c r="AT485">
        <v>-256</v>
      </c>
      <c r="BB485" t="str">
        <f t="shared" si="57"/>
        <v>1200</v>
      </c>
      <c r="BC485">
        <v>1</v>
      </c>
      <c r="BD485" t="str">
        <f t="shared" si="59"/>
        <v xml:space="preserve">N745MB  </v>
      </c>
      <c r="BE485">
        <v>1</v>
      </c>
      <c r="BG485">
        <v>0</v>
      </c>
      <c r="BH485">
        <v>0</v>
      </c>
      <c r="BI485">
        <v>0</v>
      </c>
      <c r="BL485" t="s">
        <v>130</v>
      </c>
      <c r="BM485">
        <v>1</v>
      </c>
      <c r="BN485">
        <v>0</v>
      </c>
      <c r="BO485">
        <v>0</v>
      </c>
      <c r="BP485">
        <v>0</v>
      </c>
      <c r="BT485">
        <v>0</v>
      </c>
      <c r="BU485">
        <v>0</v>
      </c>
      <c r="CE485" t="str">
        <f>"20:22:16.611"</f>
        <v>20:22:16.611</v>
      </c>
      <c r="CF485">
        <v>611254317</v>
      </c>
      <c r="CS485">
        <v>0</v>
      </c>
      <c r="CT485">
        <v>2</v>
      </c>
      <c r="CU485">
        <v>0</v>
      </c>
      <c r="CV485">
        <v>2</v>
      </c>
      <c r="CW485">
        <v>0</v>
      </c>
      <c r="CX485">
        <v>2</v>
      </c>
      <c r="CY485">
        <v>7</v>
      </c>
      <c r="CZ485" t="s">
        <v>131</v>
      </c>
      <c r="DA485">
        <v>116</v>
      </c>
      <c r="DB485">
        <v>3</v>
      </c>
      <c r="DC485" t="s">
        <v>132</v>
      </c>
      <c r="DD485" t="s">
        <v>133</v>
      </c>
      <c r="DG485">
        <v>8292584</v>
      </c>
      <c r="DI485">
        <v>0</v>
      </c>
      <c r="DJ485">
        <v>0</v>
      </c>
      <c r="DK485">
        <v>1</v>
      </c>
      <c r="DL485">
        <v>0</v>
      </c>
      <c r="DM485">
        <v>0</v>
      </c>
      <c r="DN485">
        <v>0</v>
      </c>
      <c r="DO485">
        <v>0</v>
      </c>
      <c r="DP485">
        <v>1</v>
      </c>
      <c r="DQ485">
        <v>0</v>
      </c>
      <c r="DR485">
        <v>0</v>
      </c>
      <c r="DS485">
        <v>0</v>
      </c>
    </row>
    <row r="486" spans="1:123" x14ac:dyDescent="0.25">
      <c r="A486" t="str">
        <f>"11/29/2023 20:22:19.055"</f>
        <v>11/29/2023 20:22:19.055</v>
      </c>
      <c r="C486" t="str">
        <f t="shared" si="60"/>
        <v>FFDF53C0</v>
      </c>
      <c r="D486" t="s">
        <v>138</v>
      </c>
      <c r="E486">
        <v>3</v>
      </c>
      <c r="H486">
        <v>160</v>
      </c>
      <c r="I486" t="s">
        <v>124</v>
      </c>
      <c r="J486" t="s">
        <v>139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"20:22:18.570"</f>
        <v>20:22:18.570</v>
      </c>
      <c r="T486" t="str">
        <f>"20:22:18.470"</f>
        <v>20:22:18.470</v>
      </c>
      <c r="U486" t="str">
        <f t="shared" si="56"/>
        <v>AA0632</v>
      </c>
      <c r="V486">
        <v>0</v>
      </c>
      <c r="W486">
        <v>0</v>
      </c>
      <c r="X486">
        <v>2</v>
      </c>
      <c r="Y486">
        <v>0</v>
      </c>
      <c r="AA486">
        <v>0</v>
      </c>
      <c r="AB486">
        <v>9</v>
      </c>
      <c r="AC486">
        <v>3</v>
      </c>
      <c r="AD486">
        <v>0</v>
      </c>
      <c r="AE486">
        <v>10</v>
      </c>
      <c r="AF486" t="s">
        <v>126</v>
      </c>
      <c r="AG486">
        <v>0</v>
      </c>
      <c r="AH486">
        <v>0</v>
      </c>
      <c r="AI486">
        <v>2</v>
      </c>
      <c r="AJ486">
        <v>0</v>
      </c>
      <c r="AK486" t="s">
        <v>374</v>
      </c>
      <c r="AL486">
        <v>31.944057999999998</v>
      </c>
      <c r="AM486" t="s">
        <v>375</v>
      </c>
      <c r="AN486">
        <v>-101.091707</v>
      </c>
      <c r="AQ486" t="s">
        <v>129</v>
      </c>
      <c r="AR486">
        <v>72</v>
      </c>
      <c r="AS486">
        <v>-44</v>
      </c>
      <c r="AT486">
        <v>-64</v>
      </c>
      <c r="BB486" t="str">
        <f t="shared" si="57"/>
        <v>1200</v>
      </c>
      <c r="BC486">
        <v>1</v>
      </c>
      <c r="BD486" t="str">
        <f t="shared" si="59"/>
        <v xml:space="preserve">N745MB  </v>
      </c>
      <c r="BE486">
        <v>1</v>
      </c>
      <c r="BG486">
        <v>0</v>
      </c>
      <c r="BH486">
        <v>0</v>
      </c>
      <c r="BI486">
        <v>0</v>
      </c>
      <c r="BL486" t="s">
        <v>130</v>
      </c>
      <c r="BM486">
        <v>1</v>
      </c>
      <c r="BN486">
        <v>0</v>
      </c>
      <c r="BO486">
        <v>0</v>
      </c>
      <c r="BP486">
        <v>0</v>
      </c>
      <c r="BT486">
        <v>0</v>
      </c>
      <c r="BU486">
        <v>0</v>
      </c>
      <c r="CE486" t="str">
        <f>"20:22:18.571"</f>
        <v>20:22:18.571</v>
      </c>
      <c r="CF486">
        <v>571121210</v>
      </c>
      <c r="CS486">
        <v>0</v>
      </c>
      <c r="CT486">
        <v>2</v>
      </c>
      <c r="CU486">
        <v>0</v>
      </c>
      <c r="CV486">
        <v>2</v>
      </c>
      <c r="CW486">
        <v>0</v>
      </c>
      <c r="CX486">
        <v>2</v>
      </c>
      <c r="CY486">
        <v>7</v>
      </c>
      <c r="CZ486" t="s">
        <v>131</v>
      </c>
      <c r="DA486">
        <v>116</v>
      </c>
      <c r="DB486">
        <v>3</v>
      </c>
      <c r="DC486" t="s">
        <v>132</v>
      </c>
      <c r="DD486" t="s">
        <v>133</v>
      </c>
      <c r="DG486">
        <v>8293589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1</v>
      </c>
      <c r="DQ486">
        <v>0</v>
      </c>
      <c r="DR486">
        <v>0</v>
      </c>
      <c r="DS486">
        <v>0</v>
      </c>
    </row>
    <row r="487" spans="1:123" x14ac:dyDescent="0.25">
      <c r="A487" t="str">
        <f>"11/29/2023 20:22:19.102"</f>
        <v>11/29/2023 20:22:19.102</v>
      </c>
      <c r="C487" t="str">
        <f t="shared" si="60"/>
        <v>FFDF53C0</v>
      </c>
      <c r="D487" t="s">
        <v>123</v>
      </c>
      <c r="E487">
        <v>14</v>
      </c>
      <c r="F487">
        <v>1014</v>
      </c>
      <c r="G487" t="s">
        <v>124</v>
      </c>
      <c r="J487" t="s">
        <v>125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"20:22:18.570"</f>
        <v>20:22:18.570</v>
      </c>
      <c r="T487" t="str">
        <f>"20:22:18.470"</f>
        <v>20:22:18.470</v>
      </c>
      <c r="U487" t="str">
        <f t="shared" si="56"/>
        <v>AA0632</v>
      </c>
      <c r="V487">
        <v>0</v>
      </c>
      <c r="W487">
        <v>0</v>
      </c>
      <c r="X487">
        <v>2</v>
      </c>
      <c r="Y487">
        <v>0</v>
      </c>
      <c r="AA487">
        <v>0</v>
      </c>
      <c r="AB487">
        <v>9</v>
      </c>
      <c r="AC487">
        <v>3</v>
      </c>
      <c r="AD487">
        <v>0</v>
      </c>
      <c r="AE487">
        <v>10</v>
      </c>
      <c r="AF487" t="s">
        <v>126</v>
      </c>
      <c r="AG487">
        <v>0</v>
      </c>
      <c r="AH487">
        <v>0</v>
      </c>
      <c r="AI487">
        <v>2</v>
      </c>
      <c r="AJ487">
        <v>0</v>
      </c>
      <c r="AK487" t="s">
        <v>374</v>
      </c>
      <c r="AL487">
        <v>31.944057999999998</v>
      </c>
      <c r="AM487" t="s">
        <v>375</v>
      </c>
      <c r="AN487">
        <v>-101.091707</v>
      </c>
      <c r="AQ487" t="s">
        <v>129</v>
      </c>
      <c r="AR487">
        <v>72</v>
      </c>
      <c r="AS487">
        <v>-44</v>
      </c>
      <c r="AT487">
        <v>-64</v>
      </c>
      <c r="BB487" t="str">
        <f t="shared" si="57"/>
        <v>1200</v>
      </c>
      <c r="BC487">
        <v>1</v>
      </c>
      <c r="BD487" t="str">
        <f t="shared" si="59"/>
        <v xml:space="preserve">N745MB  </v>
      </c>
      <c r="BE487">
        <v>1</v>
      </c>
      <c r="BG487">
        <v>0</v>
      </c>
      <c r="BH487">
        <v>0</v>
      </c>
      <c r="BI487">
        <v>0</v>
      </c>
      <c r="BL487" t="s">
        <v>130</v>
      </c>
      <c r="BM487">
        <v>1</v>
      </c>
      <c r="BN487">
        <v>0</v>
      </c>
      <c r="BO487">
        <v>0</v>
      </c>
      <c r="BP487">
        <v>0</v>
      </c>
      <c r="BT487">
        <v>0</v>
      </c>
      <c r="BU487">
        <v>0</v>
      </c>
      <c r="CE487" t="str">
        <f>"20:22:18.571"</f>
        <v>20:22:18.571</v>
      </c>
      <c r="CF487">
        <v>571121210</v>
      </c>
      <c r="CS487">
        <v>0</v>
      </c>
      <c r="CT487">
        <v>2</v>
      </c>
      <c r="CU487">
        <v>0</v>
      </c>
      <c r="CV487">
        <v>2</v>
      </c>
      <c r="CW487">
        <v>0</v>
      </c>
      <c r="CX487">
        <v>2</v>
      </c>
      <c r="CY487">
        <v>7</v>
      </c>
      <c r="CZ487" t="s">
        <v>131</v>
      </c>
      <c r="DA487">
        <v>116</v>
      </c>
      <c r="DB487">
        <v>3</v>
      </c>
      <c r="DC487" t="s">
        <v>132</v>
      </c>
      <c r="DD487" t="s">
        <v>133</v>
      </c>
      <c r="DG487">
        <v>8293589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1</v>
      </c>
      <c r="DQ487">
        <v>0</v>
      </c>
      <c r="DR487">
        <v>0</v>
      </c>
      <c r="DS487">
        <v>0</v>
      </c>
    </row>
    <row r="488" spans="1:123" x14ac:dyDescent="0.25">
      <c r="A488" t="str">
        <f>"11/29/2023 20:22:19.102"</f>
        <v>11/29/2023 20:22:19.102</v>
      </c>
      <c r="C488" t="str">
        <f t="shared" si="60"/>
        <v>FFDF53C0</v>
      </c>
      <c r="D488" t="s">
        <v>135</v>
      </c>
      <c r="E488">
        <v>31</v>
      </c>
      <c r="H488">
        <v>285</v>
      </c>
      <c r="I488" t="s">
        <v>136</v>
      </c>
      <c r="J488" t="s">
        <v>137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"20:22:18.570"</f>
        <v>20:22:18.570</v>
      </c>
      <c r="T488" t="str">
        <f>"20:22:18.470"</f>
        <v>20:22:18.470</v>
      </c>
      <c r="U488" t="str">
        <f t="shared" si="56"/>
        <v>AA0632</v>
      </c>
      <c r="V488">
        <v>0</v>
      </c>
      <c r="W488">
        <v>0</v>
      </c>
      <c r="X488">
        <v>2</v>
      </c>
      <c r="Y488">
        <v>0</v>
      </c>
      <c r="AA488">
        <v>0</v>
      </c>
      <c r="AB488">
        <v>9</v>
      </c>
      <c r="AC488">
        <v>3</v>
      </c>
      <c r="AD488">
        <v>0</v>
      </c>
      <c r="AE488">
        <v>10</v>
      </c>
      <c r="AF488" t="s">
        <v>126</v>
      </c>
      <c r="AG488">
        <v>0</v>
      </c>
      <c r="AH488">
        <v>0</v>
      </c>
      <c r="AI488">
        <v>2</v>
      </c>
      <c r="AJ488">
        <v>0</v>
      </c>
      <c r="AK488" t="s">
        <v>374</v>
      </c>
      <c r="AL488">
        <v>31.944057999999998</v>
      </c>
      <c r="AM488" t="s">
        <v>375</v>
      </c>
      <c r="AN488">
        <v>-101.091707</v>
      </c>
      <c r="AQ488" t="s">
        <v>129</v>
      </c>
      <c r="AR488">
        <v>72</v>
      </c>
      <c r="AS488">
        <v>-44</v>
      </c>
      <c r="AT488">
        <v>-64</v>
      </c>
      <c r="BB488" t="str">
        <f t="shared" si="57"/>
        <v>1200</v>
      </c>
      <c r="BC488">
        <v>1</v>
      </c>
      <c r="BD488" t="str">
        <f t="shared" si="59"/>
        <v xml:space="preserve">N745MB  </v>
      </c>
      <c r="BE488">
        <v>1</v>
      </c>
      <c r="BG488">
        <v>0</v>
      </c>
      <c r="BH488">
        <v>0</v>
      </c>
      <c r="BI488">
        <v>0</v>
      </c>
      <c r="BL488" t="s">
        <v>130</v>
      </c>
      <c r="BM488">
        <v>1</v>
      </c>
      <c r="BN488">
        <v>0</v>
      </c>
      <c r="BO488">
        <v>0</v>
      </c>
      <c r="BP488">
        <v>0</v>
      </c>
      <c r="BT488">
        <v>0</v>
      </c>
      <c r="BU488">
        <v>0</v>
      </c>
      <c r="CE488" t="str">
        <f>"20:22:18.571"</f>
        <v>20:22:18.571</v>
      </c>
      <c r="CF488">
        <v>571121210</v>
      </c>
      <c r="CS488">
        <v>0</v>
      </c>
      <c r="CT488">
        <v>2</v>
      </c>
      <c r="CU488">
        <v>0</v>
      </c>
      <c r="CV488">
        <v>2</v>
      </c>
      <c r="CW488">
        <v>0</v>
      </c>
      <c r="CX488">
        <v>2</v>
      </c>
      <c r="CY488">
        <v>7</v>
      </c>
      <c r="CZ488" t="s">
        <v>131</v>
      </c>
      <c r="DA488">
        <v>116</v>
      </c>
      <c r="DB488">
        <v>3</v>
      </c>
      <c r="DC488" t="s">
        <v>132</v>
      </c>
      <c r="DD488" t="s">
        <v>133</v>
      </c>
      <c r="DG488">
        <v>8293589</v>
      </c>
      <c r="DI488">
        <v>0</v>
      </c>
      <c r="DJ488">
        <v>0</v>
      </c>
      <c r="DK488">
        <v>1</v>
      </c>
      <c r="DL488">
        <v>0</v>
      </c>
      <c r="DM488">
        <v>0</v>
      </c>
      <c r="DN488">
        <v>0</v>
      </c>
      <c r="DO488">
        <v>0</v>
      </c>
      <c r="DP488">
        <v>1</v>
      </c>
      <c r="DQ488">
        <v>0</v>
      </c>
      <c r="DR488">
        <v>0</v>
      </c>
      <c r="DS488">
        <v>0</v>
      </c>
    </row>
    <row r="489" spans="1:123" x14ac:dyDescent="0.25">
      <c r="A489" t="str">
        <f>"11/29/2023 20:22:19.102"</f>
        <v>11/29/2023 20:22:19.102</v>
      </c>
      <c r="C489" t="str">
        <f t="shared" si="60"/>
        <v>FFDF53C0</v>
      </c>
      <c r="D489" t="s">
        <v>123</v>
      </c>
      <c r="E489">
        <v>1</v>
      </c>
      <c r="F489">
        <v>1001</v>
      </c>
      <c r="G489" t="s">
        <v>134</v>
      </c>
      <c r="J489" t="s">
        <v>125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"20:22:18.570"</f>
        <v>20:22:18.570</v>
      </c>
      <c r="T489" t="str">
        <f>"20:22:18.470"</f>
        <v>20:22:18.470</v>
      </c>
      <c r="U489" t="str">
        <f t="shared" si="56"/>
        <v>AA0632</v>
      </c>
      <c r="V489">
        <v>0</v>
      </c>
      <c r="W489">
        <v>0</v>
      </c>
      <c r="X489">
        <v>2</v>
      </c>
      <c r="Y489">
        <v>0</v>
      </c>
      <c r="AA489">
        <v>0</v>
      </c>
      <c r="AB489">
        <v>9</v>
      </c>
      <c r="AC489">
        <v>3</v>
      </c>
      <c r="AD489">
        <v>0</v>
      </c>
      <c r="AE489">
        <v>10</v>
      </c>
      <c r="AF489" t="s">
        <v>126</v>
      </c>
      <c r="AG489">
        <v>0</v>
      </c>
      <c r="AH489">
        <v>0</v>
      </c>
      <c r="AI489">
        <v>2</v>
      </c>
      <c r="AJ489">
        <v>0</v>
      </c>
      <c r="AK489" t="s">
        <v>374</v>
      </c>
      <c r="AL489">
        <v>31.944057999999998</v>
      </c>
      <c r="AM489" t="s">
        <v>375</v>
      </c>
      <c r="AN489">
        <v>-101.091707</v>
      </c>
      <c r="AQ489" t="s">
        <v>129</v>
      </c>
      <c r="AR489">
        <v>72</v>
      </c>
      <c r="AS489">
        <v>-44</v>
      </c>
      <c r="AT489">
        <v>-64</v>
      </c>
      <c r="BB489" t="str">
        <f t="shared" si="57"/>
        <v>1200</v>
      </c>
      <c r="BC489">
        <v>1</v>
      </c>
      <c r="BD489" t="str">
        <f t="shared" si="59"/>
        <v xml:space="preserve">N745MB  </v>
      </c>
      <c r="BE489">
        <v>1</v>
      </c>
      <c r="BG489">
        <v>0</v>
      </c>
      <c r="BH489">
        <v>0</v>
      </c>
      <c r="BI489">
        <v>0</v>
      </c>
      <c r="BL489" t="s">
        <v>130</v>
      </c>
      <c r="BM489">
        <v>1</v>
      </c>
      <c r="BN489">
        <v>0</v>
      </c>
      <c r="BO489">
        <v>0</v>
      </c>
      <c r="BP489">
        <v>0</v>
      </c>
      <c r="BT489">
        <v>0</v>
      </c>
      <c r="BU489">
        <v>0</v>
      </c>
      <c r="CE489" t="str">
        <f>"20:22:18.571"</f>
        <v>20:22:18.571</v>
      </c>
      <c r="CF489">
        <v>571121210</v>
      </c>
      <c r="CS489">
        <v>0</v>
      </c>
      <c r="CT489">
        <v>2</v>
      </c>
      <c r="CU489">
        <v>0</v>
      </c>
      <c r="CV489">
        <v>2</v>
      </c>
      <c r="CW489">
        <v>0</v>
      </c>
      <c r="CX489">
        <v>2</v>
      </c>
      <c r="CY489">
        <v>7</v>
      </c>
      <c r="CZ489" t="s">
        <v>131</v>
      </c>
      <c r="DA489">
        <v>116</v>
      </c>
      <c r="DB489">
        <v>3</v>
      </c>
      <c r="DC489" t="s">
        <v>132</v>
      </c>
      <c r="DD489" t="s">
        <v>133</v>
      </c>
      <c r="DG489">
        <v>8293589</v>
      </c>
      <c r="DI489">
        <v>0</v>
      </c>
      <c r="DJ489">
        <v>0</v>
      </c>
      <c r="DK489">
        <v>1</v>
      </c>
      <c r="DL489">
        <v>0</v>
      </c>
      <c r="DM489">
        <v>0</v>
      </c>
      <c r="DN489">
        <v>0</v>
      </c>
      <c r="DO489">
        <v>0</v>
      </c>
      <c r="DP489">
        <v>1</v>
      </c>
      <c r="DQ489">
        <v>0</v>
      </c>
      <c r="DR489">
        <v>0</v>
      </c>
      <c r="DS489">
        <v>0</v>
      </c>
    </row>
    <row r="490" spans="1:123" x14ac:dyDescent="0.25">
      <c r="A490" t="str">
        <f>"11/29/2023 20:22:20.352"</f>
        <v>11/29/2023 20:22:20.352</v>
      </c>
      <c r="C490" t="str">
        <f t="shared" si="60"/>
        <v>FFDF53C0</v>
      </c>
      <c r="D490" t="s">
        <v>123</v>
      </c>
      <c r="E490">
        <v>14</v>
      </c>
      <c r="F490">
        <v>1014</v>
      </c>
      <c r="G490" t="s">
        <v>124</v>
      </c>
      <c r="J490" t="s">
        <v>125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 t="shared" ref="S490:T493" si="61">"20:22:20.016"</f>
        <v>20:22:20.016</v>
      </c>
      <c r="T490" t="str">
        <f t="shared" si="61"/>
        <v>20:22:20.016</v>
      </c>
      <c r="U490" t="str">
        <f t="shared" si="56"/>
        <v>AA0632</v>
      </c>
      <c r="V490">
        <v>0</v>
      </c>
      <c r="W490">
        <v>0</v>
      </c>
      <c r="X490">
        <v>2</v>
      </c>
      <c r="Y490">
        <v>0</v>
      </c>
      <c r="AA490">
        <v>0</v>
      </c>
      <c r="AB490">
        <v>9</v>
      </c>
      <c r="AC490">
        <v>3</v>
      </c>
      <c r="AD490">
        <v>0</v>
      </c>
      <c r="AE490">
        <v>10</v>
      </c>
      <c r="AF490" t="s">
        <v>126</v>
      </c>
      <c r="AG490">
        <v>0</v>
      </c>
      <c r="AH490">
        <v>0</v>
      </c>
      <c r="AI490">
        <v>2</v>
      </c>
      <c r="AJ490">
        <v>0</v>
      </c>
      <c r="AK490" t="s">
        <v>376</v>
      </c>
      <c r="AL490">
        <v>31.943715000000001</v>
      </c>
      <c r="AM490" t="s">
        <v>377</v>
      </c>
      <c r="AN490">
        <v>-101.091127</v>
      </c>
      <c r="AQ490" t="s">
        <v>129</v>
      </c>
      <c r="AR490">
        <v>73</v>
      </c>
      <c r="AS490">
        <v>-45</v>
      </c>
      <c r="AT490">
        <v>-128</v>
      </c>
      <c r="BB490" t="str">
        <f t="shared" si="57"/>
        <v>1200</v>
      </c>
      <c r="BC490">
        <v>1</v>
      </c>
      <c r="BD490" t="str">
        <f t="shared" si="59"/>
        <v xml:space="preserve">N745MB  </v>
      </c>
      <c r="BE490">
        <v>1</v>
      </c>
      <c r="BG490">
        <v>0</v>
      </c>
      <c r="BH490">
        <v>0</v>
      </c>
      <c r="BI490">
        <v>0</v>
      </c>
      <c r="BL490" t="s">
        <v>130</v>
      </c>
      <c r="BM490">
        <v>1</v>
      </c>
      <c r="BN490">
        <v>0</v>
      </c>
      <c r="BO490">
        <v>0</v>
      </c>
      <c r="BP490">
        <v>0</v>
      </c>
      <c r="BT490">
        <v>0</v>
      </c>
      <c r="BU490">
        <v>0</v>
      </c>
      <c r="CE490" t="str">
        <f>"20:22:20.021"</f>
        <v>20:22:20.021</v>
      </c>
      <c r="CF490">
        <v>21022647</v>
      </c>
      <c r="CS490">
        <v>0</v>
      </c>
      <c r="CT490">
        <v>2</v>
      </c>
      <c r="CU490">
        <v>0</v>
      </c>
      <c r="CV490">
        <v>2</v>
      </c>
      <c r="CW490">
        <v>0</v>
      </c>
      <c r="CX490">
        <v>2</v>
      </c>
      <c r="CY490">
        <v>7</v>
      </c>
      <c r="CZ490" t="s">
        <v>131</v>
      </c>
      <c r="DA490">
        <v>116</v>
      </c>
      <c r="DB490">
        <v>0</v>
      </c>
      <c r="DC490" t="s">
        <v>132</v>
      </c>
      <c r="DD490" t="s">
        <v>133</v>
      </c>
      <c r="DG490">
        <v>14488568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1</v>
      </c>
      <c r="DQ490">
        <v>0</v>
      </c>
      <c r="DR490">
        <v>0</v>
      </c>
      <c r="DS490">
        <v>0</v>
      </c>
    </row>
    <row r="491" spans="1:123" x14ac:dyDescent="0.25">
      <c r="A491" t="str">
        <f>"11/29/2023 20:22:20.352"</f>
        <v>11/29/2023 20:22:20.352</v>
      </c>
      <c r="C491" t="str">
        <f t="shared" si="60"/>
        <v>FFDF53C0</v>
      </c>
      <c r="D491" t="s">
        <v>135</v>
      </c>
      <c r="E491">
        <v>31</v>
      </c>
      <c r="H491">
        <v>285</v>
      </c>
      <c r="I491" t="s">
        <v>136</v>
      </c>
      <c r="J491" t="s">
        <v>137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 t="shared" si="61"/>
        <v>20:22:20.016</v>
      </c>
      <c r="T491" t="str">
        <f t="shared" si="61"/>
        <v>20:22:20.016</v>
      </c>
      <c r="U491" t="str">
        <f t="shared" si="56"/>
        <v>AA0632</v>
      </c>
      <c r="V491">
        <v>0</v>
      </c>
      <c r="W491">
        <v>0</v>
      </c>
      <c r="X491">
        <v>2</v>
      </c>
      <c r="Y491">
        <v>0</v>
      </c>
      <c r="AA491">
        <v>0</v>
      </c>
      <c r="AB491">
        <v>9</v>
      </c>
      <c r="AC491">
        <v>3</v>
      </c>
      <c r="AD491">
        <v>0</v>
      </c>
      <c r="AE491">
        <v>10</v>
      </c>
      <c r="AF491" t="s">
        <v>126</v>
      </c>
      <c r="AG491">
        <v>0</v>
      </c>
      <c r="AH491">
        <v>0</v>
      </c>
      <c r="AI491">
        <v>2</v>
      </c>
      <c r="AJ491">
        <v>0</v>
      </c>
      <c r="AK491" t="s">
        <v>376</v>
      </c>
      <c r="AL491">
        <v>31.943715000000001</v>
      </c>
      <c r="AM491" t="s">
        <v>377</v>
      </c>
      <c r="AN491">
        <v>-101.091127</v>
      </c>
      <c r="AQ491" t="s">
        <v>129</v>
      </c>
      <c r="AR491">
        <v>73</v>
      </c>
      <c r="AS491">
        <v>-45</v>
      </c>
      <c r="AT491">
        <v>-128</v>
      </c>
      <c r="BB491" t="str">
        <f t="shared" si="57"/>
        <v>1200</v>
      </c>
      <c r="BC491">
        <v>1</v>
      </c>
      <c r="BD491" t="str">
        <f t="shared" si="59"/>
        <v xml:space="preserve">N745MB  </v>
      </c>
      <c r="BE491">
        <v>1</v>
      </c>
      <c r="BG491">
        <v>0</v>
      </c>
      <c r="BH491">
        <v>0</v>
      </c>
      <c r="BI491">
        <v>0</v>
      </c>
      <c r="BL491" t="s">
        <v>130</v>
      </c>
      <c r="BM491">
        <v>1</v>
      </c>
      <c r="BN491">
        <v>0</v>
      </c>
      <c r="BO491">
        <v>0</v>
      </c>
      <c r="BP491">
        <v>0</v>
      </c>
      <c r="BT491">
        <v>0</v>
      </c>
      <c r="BU491">
        <v>0</v>
      </c>
      <c r="CE491" t="str">
        <f>"20:22:20.021"</f>
        <v>20:22:20.021</v>
      </c>
      <c r="CF491">
        <v>21022647</v>
      </c>
      <c r="CS491">
        <v>0</v>
      </c>
      <c r="CT491">
        <v>2</v>
      </c>
      <c r="CU491">
        <v>0</v>
      </c>
      <c r="CV491">
        <v>2</v>
      </c>
      <c r="CW491">
        <v>0</v>
      </c>
      <c r="CX491">
        <v>2</v>
      </c>
      <c r="CY491">
        <v>7</v>
      </c>
      <c r="CZ491" t="s">
        <v>131</v>
      </c>
      <c r="DA491">
        <v>116</v>
      </c>
      <c r="DB491">
        <v>0</v>
      </c>
      <c r="DC491" t="s">
        <v>132</v>
      </c>
      <c r="DD491" t="s">
        <v>133</v>
      </c>
      <c r="DG491">
        <v>14488568</v>
      </c>
      <c r="DI491">
        <v>0</v>
      </c>
      <c r="DJ491">
        <v>0</v>
      </c>
      <c r="DK491">
        <v>1</v>
      </c>
      <c r="DL491">
        <v>0</v>
      </c>
      <c r="DM491">
        <v>0</v>
      </c>
      <c r="DN491">
        <v>0</v>
      </c>
      <c r="DO491">
        <v>0</v>
      </c>
      <c r="DP491">
        <v>1</v>
      </c>
      <c r="DQ491">
        <v>0</v>
      </c>
      <c r="DR491">
        <v>0</v>
      </c>
      <c r="DS491">
        <v>0</v>
      </c>
    </row>
    <row r="492" spans="1:123" x14ac:dyDescent="0.25">
      <c r="A492" t="str">
        <f>"11/29/2023 20:22:20.352"</f>
        <v>11/29/2023 20:22:20.352</v>
      </c>
      <c r="C492" t="str">
        <f t="shared" si="60"/>
        <v>FFDF53C0</v>
      </c>
      <c r="D492" t="s">
        <v>123</v>
      </c>
      <c r="E492">
        <v>1</v>
      </c>
      <c r="F492">
        <v>1001</v>
      </c>
      <c r="G492" t="s">
        <v>134</v>
      </c>
      <c r="J492" t="s">
        <v>125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 t="shared" si="61"/>
        <v>20:22:20.016</v>
      </c>
      <c r="T492" t="str">
        <f t="shared" si="61"/>
        <v>20:22:20.016</v>
      </c>
      <c r="U492" t="str">
        <f t="shared" si="56"/>
        <v>AA0632</v>
      </c>
      <c r="V492">
        <v>0</v>
      </c>
      <c r="W492">
        <v>0</v>
      </c>
      <c r="X492">
        <v>2</v>
      </c>
      <c r="Y492">
        <v>0</v>
      </c>
      <c r="AA492">
        <v>0</v>
      </c>
      <c r="AB492">
        <v>9</v>
      </c>
      <c r="AC492">
        <v>3</v>
      </c>
      <c r="AD492">
        <v>0</v>
      </c>
      <c r="AE492">
        <v>10</v>
      </c>
      <c r="AF492" t="s">
        <v>126</v>
      </c>
      <c r="AG492">
        <v>0</v>
      </c>
      <c r="AH492">
        <v>0</v>
      </c>
      <c r="AI492">
        <v>2</v>
      </c>
      <c r="AJ492">
        <v>0</v>
      </c>
      <c r="AK492" t="s">
        <v>376</v>
      </c>
      <c r="AL492">
        <v>31.943715000000001</v>
      </c>
      <c r="AM492" t="s">
        <v>377</v>
      </c>
      <c r="AN492">
        <v>-101.091127</v>
      </c>
      <c r="AQ492" t="s">
        <v>129</v>
      </c>
      <c r="AR492">
        <v>73</v>
      </c>
      <c r="AS492">
        <v>-45</v>
      </c>
      <c r="AT492">
        <v>-128</v>
      </c>
      <c r="BB492" t="str">
        <f t="shared" si="57"/>
        <v>1200</v>
      </c>
      <c r="BC492">
        <v>1</v>
      </c>
      <c r="BD492" t="str">
        <f t="shared" si="59"/>
        <v xml:space="preserve">N745MB  </v>
      </c>
      <c r="BE492">
        <v>1</v>
      </c>
      <c r="BG492">
        <v>0</v>
      </c>
      <c r="BH492">
        <v>0</v>
      </c>
      <c r="BI492">
        <v>0</v>
      </c>
      <c r="BL492" t="s">
        <v>130</v>
      </c>
      <c r="BM492">
        <v>1</v>
      </c>
      <c r="BN492">
        <v>0</v>
      </c>
      <c r="BO492">
        <v>0</v>
      </c>
      <c r="BP492">
        <v>0</v>
      </c>
      <c r="BT492">
        <v>0</v>
      </c>
      <c r="BU492">
        <v>0</v>
      </c>
      <c r="CE492" t="str">
        <f>"20:22:20.021"</f>
        <v>20:22:20.021</v>
      </c>
      <c r="CF492">
        <v>21022647</v>
      </c>
      <c r="CS492">
        <v>0</v>
      </c>
      <c r="CT492">
        <v>2</v>
      </c>
      <c r="CU492">
        <v>0</v>
      </c>
      <c r="CV492">
        <v>2</v>
      </c>
      <c r="CW492">
        <v>0</v>
      </c>
      <c r="CX492">
        <v>2</v>
      </c>
      <c r="CY492">
        <v>7</v>
      </c>
      <c r="CZ492" t="s">
        <v>131</v>
      </c>
      <c r="DA492">
        <v>116</v>
      </c>
      <c r="DB492">
        <v>0</v>
      </c>
      <c r="DC492" t="s">
        <v>132</v>
      </c>
      <c r="DD492" t="s">
        <v>133</v>
      </c>
      <c r="DG492">
        <v>14488568</v>
      </c>
      <c r="DI492">
        <v>0</v>
      </c>
      <c r="DJ492">
        <v>0</v>
      </c>
      <c r="DK492">
        <v>1</v>
      </c>
      <c r="DL492">
        <v>0</v>
      </c>
      <c r="DM492">
        <v>0</v>
      </c>
      <c r="DN492">
        <v>0</v>
      </c>
      <c r="DO492">
        <v>0</v>
      </c>
      <c r="DP492">
        <v>1</v>
      </c>
      <c r="DQ492">
        <v>0</v>
      </c>
      <c r="DR492">
        <v>0</v>
      </c>
      <c r="DS492">
        <v>0</v>
      </c>
    </row>
    <row r="493" spans="1:123" x14ac:dyDescent="0.25">
      <c r="A493" t="str">
        <f>"11/29/2023 20:22:20.352"</f>
        <v>11/29/2023 20:22:20.352</v>
      </c>
      <c r="C493" t="str">
        <f t="shared" si="60"/>
        <v>FFDF53C0</v>
      </c>
      <c r="D493" t="s">
        <v>138</v>
      </c>
      <c r="E493">
        <v>3</v>
      </c>
      <c r="H493">
        <v>160</v>
      </c>
      <c r="I493" t="s">
        <v>124</v>
      </c>
      <c r="J493" t="s">
        <v>139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 t="shared" si="61"/>
        <v>20:22:20.016</v>
      </c>
      <c r="T493" t="str">
        <f t="shared" si="61"/>
        <v>20:22:20.016</v>
      </c>
      <c r="U493" t="str">
        <f t="shared" si="56"/>
        <v>AA0632</v>
      </c>
      <c r="V493">
        <v>0</v>
      </c>
      <c r="W493">
        <v>0</v>
      </c>
      <c r="X493">
        <v>2</v>
      </c>
      <c r="Y493">
        <v>0</v>
      </c>
      <c r="AA493">
        <v>0</v>
      </c>
      <c r="AB493">
        <v>9</v>
      </c>
      <c r="AC493">
        <v>3</v>
      </c>
      <c r="AD493">
        <v>0</v>
      </c>
      <c r="AE493">
        <v>10</v>
      </c>
      <c r="AF493" t="s">
        <v>126</v>
      </c>
      <c r="AG493">
        <v>0</v>
      </c>
      <c r="AH493">
        <v>0</v>
      </c>
      <c r="AI493">
        <v>2</v>
      </c>
      <c r="AJ493">
        <v>0</v>
      </c>
      <c r="AK493" t="s">
        <v>376</v>
      </c>
      <c r="AL493">
        <v>31.943715000000001</v>
      </c>
      <c r="AM493" t="s">
        <v>377</v>
      </c>
      <c r="AN493">
        <v>-101.091127</v>
      </c>
      <c r="AQ493" t="s">
        <v>129</v>
      </c>
      <c r="AR493">
        <v>73</v>
      </c>
      <c r="AS493">
        <v>-45</v>
      </c>
      <c r="AT493">
        <v>-128</v>
      </c>
      <c r="BB493" t="str">
        <f t="shared" si="57"/>
        <v>1200</v>
      </c>
      <c r="BC493">
        <v>1</v>
      </c>
      <c r="BD493" t="str">
        <f t="shared" si="59"/>
        <v xml:space="preserve">N745MB  </v>
      </c>
      <c r="BE493">
        <v>1</v>
      </c>
      <c r="BG493">
        <v>0</v>
      </c>
      <c r="BH493">
        <v>0</v>
      </c>
      <c r="BI493">
        <v>0</v>
      </c>
      <c r="BL493" t="s">
        <v>130</v>
      </c>
      <c r="BM493">
        <v>1</v>
      </c>
      <c r="BN493">
        <v>0</v>
      </c>
      <c r="BO493">
        <v>0</v>
      </c>
      <c r="BP493">
        <v>0</v>
      </c>
      <c r="BT493">
        <v>0</v>
      </c>
      <c r="BU493">
        <v>0</v>
      </c>
      <c r="CE493" t="str">
        <f>"20:22:20.021"</f>
        <v>20:22:20.021</v>
      </c>
      <c r="CF493">
        <v>21022647</v>
      </c>
      <c r="CS493">
        <v>0</v>
      </c>
      <c r="CT493">
        <v>2</v>
      </c>
      <c r="CU493">
        <v>0</v>
      </c>
      <c r="CV493">
        <v>2</v>
      </c>
      <c r="CW493">
        <v>0</v>
      </c>
      <c r="CX493">
        <v>2</v>
      </c>
      <c r="CY493">
        <v>7</v>
      </c>
      <c r="CZ493" t="s">
        <v>131</v>
      </c>
      <c r="DA493">
        <v>116</v>
      </c>
      <c r="DB493">
        <v>0</v>
      </c>
      <c r="DC493" t="s">
        <v>132</v>
      </c>
      <c r="DD493" t="s">
        <v>133</v>
      </c>
      <c r="DG493">
        <v>14488568</v>
      </c>
      <c r="DI493">
        <v>0</v>
      </c>
      <c r="DJ493">
        <v>0</v>
      </c>
      <c r="DK493">
        <v>1</v>
      </c>
      <c r="DL493">
        <v>0</v>
      </c>
      <c r="DM493">
        <v>0</v>
      </c>
      <c r="DN493">
        <v>0</v>
      </c>
      <c r="DO493">
        <v>0</v>
      </c>
      <c r="DP493">
        <v>1</v>
      </c>
      <c r="DQ493">
        <v>0</v>
      </c>
      <c r="DR493">
        <v>0</v>
      </c>
      <c r="DS493">
        <v>0</v>
      </c>
    </row>
    <row r="494" spans="1:123" x14ac:dyDescent="0.25">
      <c r="A494" t="str">
        <f>"11/29/2023 20:22:21.945"</f>
        <v>11/29/2023 20:22:21.945</v>
      </c>
      <c r="C494" t="str">
        <f t="shared" si="60"/>
        <v>FFDF53C0</v>
      </c>
      <c r="D494" t="s">
        <v>135</v>
      </c>
      <c r="E494">
        <v>31</v>
      </c>
      <c r="H494">
        <v>285</v>
      </c>
      <c r="I494" t="s">
        <v>136</v>
      </c>
      <c r="J494" t="s">
        <v>137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 t="shared" ref="S494:T497" si="62">"20:22:21.578"</f>
        <v>20:22:21.578</v>
      </c>
      <c r="T494" t="str">
        <f t="shared" si="62"/>
        <v>20:22:21.578</v>
      </c>
      <c r="U494" t="str">
        <f t="shared" si="56"/>
        <v>AA0632</v>
      </c>
      <c r="V494">
        <v>0</v>
      </c>
      <c r="W494">
        <v>0</v>
      </c>
      <c r="X494">
        <v>2</v>
      </c>
      <c r="Y494">
        <v>0</v>
      </c>
      <c r="AA494">
        <v>0</v>
      </c>
      <c r="AB494">
        <v>9</v>
      </c>
      <c r="AC494">
        <v>3</v>
      </c>
      <c r="AD494">
        <v>0</v>
      </c>
      <c r="AE494">
        <v>10</v>
      </c>
      <c r="AF494" t="s">
        <v>126</v>
      </c>
      <c r="AG494">
        <v>0</v>
      </c>
      <c r="AH494">
        <v>0</v>
      </c>
      <c r="AI494">
        <v>2</v>
      </c>
      <c r="AJ494">
        <v>0</v>
      </c>
      <c r="AK494" t="s">
        <v>378</v>
      </c>
      <c r="AL494">
        <v>31.943393</v>
      </c>
      <c r="AM494" t="s">
        <v>379</v>
      </c>
      <c r="AN494">
        <v>-101.09052699999999</v>
      </c>
      <c r="AQ494" t="s">
        <v>129</v>
      </c>
      <c r="AR494">
        <v>73</v>
      </c>
      <c r="AS494">
        <v>-45</v>
      </c>
      <c r="AT494">
        <v>-128</v>
      </c>
      <c r="BB494" t="str">
        <f t="shared" si="57"/>
        <v>1200</v>
      </c>
      <c r="BC494">
        <v>1</v>
      </c>
      <c r="BD494" t="str">
        <f t="shared" si="59"/>
        <v xml:space="preserve">N745MB  </v>
      </c>
      <c r="BE494">
        <v>1</v>
      </c>
      <c r="BG494">
        <v>0</v>
      </c>
      <c r="BH494">
        <v>0</v>
      </c>
      <c r="BI494">
        <v>0</v>
      </c>
      <c r="BL494" t="s">
        <v>130</v>
      </c>
      <c r="BM494">
        <v>1</v>
      </c>
      <c r="BN494">
        <v>0</v>
      </c>
      <c r="BO494">
        <v>0</v>
      </c>
      <c r="BP494">
        <v>0</v>
      </c>
      <c r="BT494">
        <v>0</v>
      </c>
      <c r="BU494">
        <v>0</v>
      </c>
      <c r="CE494" t="str">
        <f>"20:22:21.583"</f>
        <v>20:22:21.583</v>
      </c>
      <c r="CF494">
        <v>582917030</v>
      </c>
      <c r="CS494">
        <v>0</v>
      </c>
      <c r="CT494">
        <v>2</v>
      </c>
      <c r="CU494">
        <v>0</v>
      </c>
      <c r="CV494">
        <v>2</v>
      </c>
      <c r="CW494">
        <v>0</v>
      </c>
      <c r="CX494">
        <v>2</v>
      </c>
      <c r="CY494">
        <v>7</v>
      </c>
      <c r="CZ494" t="s">
        <v>131</v>
      </c>
      <c r="DA494">
        <v>116</v>
      </c>
      <c r="DB494">
        <v>3</v>
      </c>
      <c r="DC494" t="s">
        <v>132</v>
      </c>
      <c r="DD494" t="s">
        <v>133</v>
      </c>
      <c r="DG494">
        <v>8295235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1</v>
      </c>
      <c r="DQ494">
        <v>0</v>
      </c>
      <c r="DR494">
        <v>0</v>
      </c>
      <c r="DS494">
        <v>0</v>
      </c>
    </row>
    <row r="495" spans="1:123" x14ac:dyDescent="0.25">
      <c r="A495" t="str">
        <f>"11/29/2023 20:22:22.008"</f>
        <v>11/29/2023 20:22:22.008</v>
      </c>
      <c r="C495" t="str">
        <f t="shared" si="60"/>
        <v>FFDF53C0</v>
      </c>
      <c r="D495" t="s">
        <v>123</v>
      </c>
      <c r="E495">
        <v>1</v>
      </c>
      <c r="F495">
        <v>1001</v>
      </c>
      <c r="G495" t="s">
        <v>134</v>
      </c>
      <c r="J495" t="s">
        <v>125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 t="shared" si="62"/>
        <v>20:22:21.578</v>
      </c>
      <c r="T495" t="str">
        <f t="shared" si="62"/>
        <v>20:22:21.578</v>
      </c>
      <c r="U495" t="str">
        <f t="shared" si="56"/>
        <v>AA0632</v>
      </c>
      <c r="V495">
        <v>0</v>
      </c>
      <c r="W495">
        <v>0</v>
      </c>
      <c r="X495">
        <v>2</v>
      </c>
      <c r="Y495">
        <v>0</v>
      </c>
      <c r="AA495">
        <v>0</v>
      </c>
      <c r="AB495">
        <v>9</v>
      </c>
      <c r="AC495">
        <v>3</v>
      </c>
      <c r="AD495">
        <v>0</v>
      </c>
      <c r="AE495">
        <v>10</v>
      </c>
      <c r="AF495" t="s">
        <v>126</v>
      </c>
      <c r="AG495">
        <v>0</v>
      </c>
      <c r="AH495">
        <v>0</v>
      </c>
      <c r="AI495">
        <v>2</v>
      </c>
      <c r="AJ495">
        <v>0</v>
      </c>
      <c r="AK495" t="s">
        <v>378</v>
      </c>
      <c r="AL495">
        <v>31.943393</v>
      </c>
      <c r="AM495" t="s">
        <v>379</v>
      </c>
      <c r="AN495">
        <v>-101.09052699999999</v>
      </c>
      <c r="AQ495" t="s">
        <v>129</v>
      </c>
      <c r="AR495">
        <v>73</v>
      </c>
      <c r="AS495">
        <v>-45</v>
      </c>
      <c r="AT495">
        <v>-128</v>
      </c>
      <c r="BB495" t="str">
        <f t="shared" si="57"/>
        <v>1200</v>
      </c>
      <c r="BC495">
        <v>1</v>
      </c>
      <c r="BD495" t="str">
        <f t="shared" si="59"/>
        <v xml:space="preserve">N745MB  </v>
      </c>
      <c r="BE495">
        <v>1</v>
      </c>
      <c r="BG495">
        <v>0</v>
      </c>
      <c r="BH495">
        <v>0</v>
      </c>
      <c r="BI495">
        <v>0</v>
      </c>
      <c r="BL495" t="s">
        <v>130</v>
      </c>
      <c r="BM495">
        <v>1</v>
      </c>
      <c r="BN495">
        <v>0</v>
      </c>
      <c r="BO495">
        <v>0</v>
      </c>
      <c r="BP495">
        <v>0</v>
      </c>
      <c r="BT495">
        <v>0</v>
      </c>
      <c r="BU495">
        <v>0</v>
      </c>
      <c r="CE495" t="str">
        <f>"20:22:21.583"</f>
        <v>20:22:21.583</v>
      </c>
      <c r="CF495">
        <v>582917030</v>
      </c>
      <c r="CS495">
        <v>0</v>
      </c>
      <c r="CT495">
        <v>2</v>
      </c>
      <c r="CU495">
        <v>0</v>
      </c>
      <c r="CV495">
        <v>2</v>
      </c>
      <c r="CW495">
        <v>0</v>
      </c>
      <c r="CX495">
        <v>2</v>
      </c>
      <c r="CY495">
        <v>7</v>
      </c>
      <c r="CZ495" t="s">
        <v>131</v>
      </c>
      <c r="DA495">
        <v>116</v>
      </c>
      <c r="DB495">
        <v>3</v>
      </c>
      <c r="DC495" t="s">
        <v>132</v>
      </c>
      <c r="DD495" t="s">
        <v>133</v>
      </c>
      <c r="DG495">
        <v>8295235</v>
      </c>
      <c r="DI495">
        <v>0</v>
      </c>
      <c r="DJ495">
        <v>0</v>
      </c>
      <c r="DK495">
        <v>1</v>
      </c>
      <c r="DL495">
        <v>0</v>
      </c>
      <c r="DM495">
        <v>0</v>
      </c>
      <c r="DN495">
        <v>0</v>
      </c>
      <c r="DO495">
        <v>0</v>
      </c>
      <c r="DP495">
        <v>1</v>
      </c>
      <c r="DQ495">
        <v>0</v>
      </c>
      <c r="DR495">
        <v>0</v>
      </c>
      <c r="DS495">
        <v>0</v>
      </c>
    </row>
    <row r="496" spans="1:123" x14ac:dyDescent="0.25">
      <c r="A496" t="str">
        <f>"11/29/2023 20:22:22.008"</f>
        <v>11/29/2023 20:22:22.008</v>
      </c>
      <c r="C496" t="str">
        <f t="shared" si="60"/>
        <v>FFDF53C0</v>
      </c>
      <c r="D496" t="s">
        <v>138</v>
      </c>
      <c r="E496">
        <v>3</v>
      </c>
      <c r="H496">
        <v>160</v>
      </c>
      <c r="I496" t="s">
        <v>124</v>
      </c>
      <c r="J496" t="s">
        <v>139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 t="shared" si="62"/>
        <v>20:22:21.578</v>
      </c>
      <c r="T496" t="str">
        <f t="shared" si="62"/>
        <v>20:22:21.578</v>
      </c>
      <c r="U496" t="str">
        <f t="shared" si="56"/>
        <v>AA0632</v>
      </c>
      <c r="V496">
        <v>0</v>
      </c>
      <c r="W496">
        <v>0</v>
      </c>
      <c r="X496">
        <v>2</v>
      </c>
      <c r="Y496">
        <v>0</v>
      </c>
      <c r="AA496">
        <v>0</v>
      </c>
      <c r="AB496">
        <v>9</v>
      </c>
      <c r="AC496">
        <v>3</v>
      </c>
      <c r="AD496">
        <v>0</v>
      </c>
      <c r="AE496">
        <v>10</v>
      </c>
      <c r="AF496" t="s">
        <v>126</v>
      </c>
      <c r="AG496">
        <v>0</v>
      </c>
      <c r="AH496">
        <v>0</v>
      </c>
      <c r="AI496">
        <v>2</v>
      </c>
      <c r="AJ496">
        <v>0</v>
      </c>
      <c r="AK496" t="s">
        <v>378</v>
      </c>
      <c r="AL496">
        <v>31.943393</v>
      </c>
      <c r="AM496" t="s">
        <v>379</v>
      </c>
      <c r="AN496">
        <v>-101.09052699999999</v>
      </c>
      <c r="AQ496" t="s">
        <v>129</v>
      </c>
      <c r="AR496">
        <v>73</v>
      </c>
      <c r="AS496">
        <v>-45</v>
      </c>
      <c r="AT496">
        <v>-128</v>
      </c>
      <c r="BB496" t="str">
        <f t="shared" si="57"/>
        <v>1200</v>
      </c>
      <c r="BC496">
        <v>1</v>
      </c>
      <c r="BD496" t="str">
        <f t="shared" si="59"/>
        <v xml:space="preserve">N745MB  </v>
      </c>
      <c r="BE496">
        <v>1</v>
      </c>
      <c r="BG496">
        <v>0</v>
      </c>
      <c r="BH496">
        <v>0</v>
      </c>
      <c r="BI496">
        <v>0</v>
      </c>
      <c r="BL496" t="s">
        <v>130</v>
      </c>
      <c r="BM496">
        <v>1</v>
      </c>
      <c r="BN496">
        <v>0</v>
      </c>
      <c r="BO496">
        <v>0</v>
      </c>
      <c r="BP496">
        <v>0</v>
      </c>
      <c r="BT496">
        <v>0</v>
      </c>
      <c r="BU496">
        <v>0</v>
      </c>
      <c r="CE496" t="str">
        <f>"20:22:21.583"</f>
        <v>20:22:21.583</v>
      </c>
      <c r="CF496">
        <v>582917030</v>
      </c>
      <c r="CS496">
        <v>0</v>
      </c>
      <c r="CT496">
        <v>2</v>
      </c>
      <c r="CU496">
        <v>0</v>
      </c>
      <c r="CV496">
        <v>2</v>
      </c>
      <c r="CW496">
        <v>0</v>
      </c>
      <c r="CX496">
        <v>2</v>
      </c>
      <c r="CY496">
        <v>7</v>
      </c>
      <c r="CZ496" t="s">
        <v>131</v>
      </c>
      <c r="DA496">
        <v>116</v>
      </c>
      <c r="DB496">
        <v>3</v>
      </c>
      <c r="DC496" t="s">
        <v>132</v>
      </c>
      <c r="DD496" t="s">
        <v>133</v>
      </c>
      <c r="DG496">
        <v>8295235</v>
      </c>
      <c r="DI496">
        <v>0</v>
      </c>
      <c r="DJ496">
        <v>0</v>
      </c>
      <c r="DK496">
        <v>1</v>
      </c>
      <c r="DL496">
        <v>0</v>
      </c>
      <c r="DM496">
        <v>0</v>
      </c>
      <c r="DN496">
        <v>0</v>
      </c>
      <c r="DO496">
        <v>0</v>
      </c>
      <c r="DP496">
        <v>1</v>
      </c>
      <c r="DQ496">
        <v>0</v>
      </c>
      <c r="DR496">
        <v>0</v>
      </c>
      <c r="DS496">
        <v>0</v>
      </c>
    </row>
    <row r="497" spans="1:123" x14ac:dyDescent="0.25">
      <c r="A497" t="str">
        <f>"11/29/2023 20:22:22.008"</f>
        <v>11/29/2023 20:22:22.008</v>
      </c>
      <c r="C497" t="str">
        <f t="shared" si="60"/>
        <v>FFDF53C0</v>
      </c>
      <c r="D497" t="s">
        <v>123</v>
      </c>
      <c r="E497">
        <v>14</v>
      </c>
      <c r="F497">
        <v>1014</v>
      </c>
      <c r="G497" t="s">
        <v>124</v>
      </c>
      <c r="J497" t="s">
        <v>125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 t="shared" si="62"/>
        <v>20:22:21.578</v>
      </c>
      <c r="T497" t="str">
        <f t="shared" si="62"/>
        <v>20:22:21.578</v>
      </c>
      <c r="U497" t="str">
        <f t="shared" si="56"/>
        <v>AA0632</v>
      </c>
      <c r="V497">
        <v>0</v>
      </c>
      <c r="W497">
        <v>0</v>
      </c>
      <c r="X497">
        <v>2</v>
      </c>
      <c r="Y497">
        <v>0</v>
      </c>
      <c r="AA497">
        <v>0</v>
      </c>
      <c r="AB497">
        <v>9</v>
      </c>
      <c r="AC497">
        <v>3</v>
      </c>
      <c r="AD497">
        <v>0</v>
      </c>
      <c r="AE497">
        <v>10</v>
      </c>
      <c r="AF497" t="s">
        <v>126</v>
      </c>
      <c r="AG497">
        <v>0</v>
      </c>
      <c r="AH497">
        <v>0</v>
      </c>
      <c r="AI497">
        <v>2</v>
      </c>
      <c r="AJ497">
        <v>0</v>
      </c>
      <c r="AK497" t="s">
        <v>378</v>
      </c>
      <c r="AL497">
        <v>31.943393</v>
      </c>
      <c r="AM497" t="s">
        <v>379</v>
      </c>
      <c r="AN497">
        <v>-101.09052699999999</v>
      </c>
      <c r="AQ497" t="s">
        <v>129</v>
      </c>
      <c r="AR497">
        <v>73</v>
      </c>
      <c r="AS497">
        <v>-45</v>
      </c>
      <c r="AT497">
        <v>-128</v>
      </c>
      <c r="BB497" t="str">
        <f t="shared" si="57"/>
        <v>1200</v>
      </c>
      <c r="BC497">
        <v>1</v>
      </c>
      <c r="BD497" t="str">
        <f t="shared" si="59"/>
        <v xml:space="preserve">N745MB  </v>
      </c>
      <c r="BE497">
        <v>1</v>
      </c>
      <c r="BG497">
        <v>0</v>
      </c>
      <c r="BH497">
        <v>0</v>
      </c>
      <c r="BI497">
        <v>0</v>
      </c>
      <c r="BL497" t="s">
        <v>130</v>
      </c>
      <c r="BM497">
        <v>1</v>
      </c>
      <c r="BN497">
        <v>0</v>
      </c>
      <c r="BO497">
        <v>0</v>
      </c>
      <c r="BP497">
        <v>0</v>
      </c>
      <c r="BT497">
        <v>0</v>
      </c>
      <c r="BU497">
        <v>0</v>
      </c>
      <c r="CE497" t="str">
        <f>"20:22:21.583"</f>
        <v>20:22:21.583</v>
      </c>
      <c r="CF497">
        <v>582917030</v>
      </c>
      <c r="CS497">
        <v>0</v>
      </c>
      <c r="CT497">
        <v>2</v>
      </c>
      <c r="CU497">
        <v>0</v>
      </c>
      <c r="CV497">
        <v>2</v>
      </c>
      <c r="CW497">
        <v>0</v>
      </c>
      <c r="CX497">
        <v>2</v>
      </c>
      <c r="CY497">
        <v>7</v>
      </c>
      <c r="CZ497" t="s">
        <v>131</v>
      </c>
      <c r="DA497">
        <v>116</v>
      </c>
      <c r="DB497">
        <v>3</v>
      </c>
      <c r="DC497" t="s">
        <v>132</v>
      </c>
      <c r="DD497" t="s">
        <v>133</v>
      </c>
      <c r="DG497">
        <v>8295235</v>
      </c>
      <c r="DI497">
        <v>0</v>
      </c>
      <c r="DJ497">
        <v>0</v>
      </c>
      <c r="DK497">
        <v>1</v>
      </c>
      <c r="DL497">
        <v>0</v>
      </c>
      <c r="DM497">
        <v>0</v>
      </c>
      <c r="DN497">
        <v>0</v>
      </c>
      <c r="DO497">
        <v>0</v>
      </c>
      <c r="DP497">
        <v>1</v>
      </c>
      <c r="DQ497">
        <v>0</v>
      </c>
      <c r="DR497">
        <v>0</v>
      </c>
      <c r="DS497">
        <v>0</v>
      </c>
    </row>
    <row r="498" spans="1:123" x14ac:dyDescent="0.25">
      <c r="A498" t="str">
        <f>"11/29/2023 20:22:22.977"</f>
        <v>11/29/2023 20:22:22.977</v>
      </c>
      <c r="C498" t="str">
        <f t="shared" si="60"/>
        <v>FFDF53C0</v>
      </c>
      <c r="D498" t="s">
        <v>123</v>
      </c>
      <c r="E498">
        <v>1</v>
      </c>
      <c r="F498">
        <v>1001</v>
      </c>
      <c r="G498" t="s">
        <v>134</v>
      </c>
      <c r="J498" t="s">
        <v>125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"20:22:22.648"</f>
        <v>20:22:22.648</v>
      </c>
      <c r="T498" t="str">
        <f>"20:22:22.548"</f>
        <v>20:22:22.548</v>
      </c>
      <c r="U498" t="str">
        <f t="shared" si="56"/>
        <v>AA0632</v>
      </c>
      <c r="V498">
        <v>0</v>
      </c>
      <c r="W498">
        <v>0</v>
      </c>
      <c r="X498">
        <v>2</v>
      </c>
      <c r="Y498">
        <v>0</v>
      </c>
      <c r="AA498">
        <v>0</v>
      </c>
      <c r="AB498">
        <v>9</v>
      </c>
      <c r="AC498">
        <v>3</v>
      </c>
      <c r="AD498">
        <v>0</v>
      </c>
      <c r="AE498">
        <v>10</v>
      </c>
      <c r="AF498" t="s">
        <v>126</v>
      </c>
      <c r="AG498">
        <v>0</v>
      </c>
      <c r="AH498">
        <v>0</v>
      </c>
      <c r="AI498">
        <v>2</v>
      </c>
      <c r="AJ498">
        <v>0</v>
      </c>
      <c r="AK498" t="s">
        <v>380</v>
      </c>
      <c r="AL498">
        <v>31.943156999999999</v>
      </c>
      <c r="AM498" t="s">
        <v>381</v>
      </c>
      <c r="AN498">
        <v>-101.090097</v>
      </c>
      <c r="AQ498" t="s">
        <v>129</v>
      </c>
      <c r="AR498">
        <v>74</v>
      </c>
      <c r="AS498">
        <v>-46</v>
      </c>
      <c r="AT498">
        <v>-128</v>
      </c>
      <c r="BB498" t="str">
        <f t="shared" si="57"/>
        <v>1200</v>
      </c>
      <c r="BC498">
        <v>1</v>
      </c>
      <c r="BD498" t="str">
        <f t="shared" si="59"/>
        <v xml:space="preserve">N745MB  </v>
      </c>
      <c r="BE498">
        <v>1</v>
      </c>
      <c r="BG498">
        <v>0</v>
      </c>
      <c r="BH498">
        <v>0</v>
      </c>
      <c r="BI498">
        <v>0</v>
      </c>
      <c r="BL498" t="s">
        <v>130</v>
      </c>
      <c r="BM498">
        <v>1</v>
      </c>
      <c r="BN498">
        <v>0</v>
      </c>
      <c r="BO498">
        <v>0</v>
      </c>
      <c r="BP498">
        <v>0</v>
      </c>
      <c r="BT498">
        <v>0</v>
      </c>
      <c r="BU498">
        <v>0</v>
      </c>
      <c r="CE498" t="str">
        <f>"20:22:22.649"</f>
        <v>20:22:22.649</v>
      </c>
      <c r="CF498">
        <v>648851467</v>
      </c>
      <c r="CS498">
        <v>0</v>
      </c>
      <c r="CT498">
        <v>2</v>
      </c>
      <c r="CU498">
        <v>0</v>
      </c>
      <c r="CV498">
        <v>2</v>
      </c>
      <c r="CW498">
        <v>0</v>
      </c>
      <c r="CX498">
        <v>2</v>
      </c>
      <c r="CY498">
        <v>7</v>
      </c>
      <c r="CZ498" t="s">
        <v>131</v>
      </c>
      <c r="DA498">
        <v>116</v>
      </c>
      <c r="DB498">
        <v>3</v>
      </c>
      <c r="DC498" t="s">
        <v>132</v>
      </c>
      <c r="DD498" t="s">
        <v>133</v>
      </c>
      <c r="DG498">
        <v>8295841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1</v>
      </c>
      <c r="DQ498">
        <v>0</v>
      </c>
      <c r="DR498">
        <v>0</v>
      </c>
      <c r="DS498">
        <v>0</v>
      </c>
    </row>
    <row r="499" spans="1:123" x14ac:dyDescent="0.25">
      <c r="A499" t="str">
        <f>"11/29/2023 20:22:23.008"</f>
        <v>11/29/2023 20:22:23.008</v>
      </c>
      <c r="C499" t="str">
        <f t="shared" si="60"/>
        <v>FFDF53C0</v>
      </c>
      <c r="D499" t="s">
        <v>138</v>
      </c>
      <c r="E499">
        <v>3</v>
      </c>
      <c r="H499">
        <v>160</v>
      </c>
      <c r="I499" t="s">
        <v>124</v>
      </c>
      <c r="J499" t="s">
        <v>139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"20:22:22.648"</f>
        <v>20:22:22.648</v>
      </c>
      <c r="T499" t="str">
        <f>"20:22:22.548"</f>
        <v>20:22:22.548</v>
      </c>
      <c r="U499" t="str">
        <f t="shared" si="56"/>
        <v>AA0632</v>
      </c>
      <c r="V499">
        <v>0</v>
      </c>
      <c r="W499">
        <v>0</v>
      </c>
      <c r="X499">
        <v>2</v>
      </c>
      <c r="Y499">
        <v>0</v>
      </c>
      <c r="AA499">
        <v>0</v>
      </c>
      <c r="AB499">
        <v>9</v>
      </c>
      <c r="AC499">
        <v>3</v>
      </c>
      <c r="AD499">
        <v>0</v>
      </c>
      <c r="AE499">
        <v>10</v>
      </c>
      <c r="AF499" t="s">
        <v>126</v>
      </c>
      <c r="AG499">
        <v>0</v>
      </c>
      <c r="AH499">
        <v>0</v>
      </c>
      <c r="AI499">
        <v>2</v>
      </c>
      <c r="AJ499">
        <v>0</v>
      </c>
      <c r="AK499" t="s">
        <v>380</v>
      </c>
      <c r="AL499">
        <v>31.943156999999999</v>
      </c>
      <c r="AM499" t="s">
        <v>381</v>
      </c>
      <c r="AN499">
        <v>-101.090097</v>
      </c>
      <c r="AQ499" t="s">
        <v>129</v>
      </c>
      <c r="AR499">
        <v>74</v>
      </c>
      <c r="AS499">
        <v>-46</v>
      </c>
      <c r="AT499">
        <v>-128</v>
      </c>
      <c r="BB499" t="str">
        <f t="shared" si="57"/>
        <v>1200</v>
      </c>
      <c r="BC499">
        <v>1</v>
      </c>
      <c r="BD499" t="str">
        <f t="shared" si="59"/>
        <v xml:space="preserve">N745MB  </v>
      </c>
      <c r="BE499">
        <v>1</v>
      </c>
      <c r="BG499">
        <v>0</v>
      </c>
      <c r="BH499">
        <v>0</v>
      </c>
      <c r="BI499">
        <v>0</v>
      </c>
      <c r="BL499" t="s">
        <v>130</v>
      </c>
      <c r="BM499">
        <v>1</v>
      </c>
      <c r="BN499">
        <v>0</v>
      </c>
      <c r="BO499">
        <v>0</v>
      </c>
      <c r="BP499">
        <v>0</v>
      </c>
      <c r="BT499">
        <v>0</v>
      </c>
      <c r="BU499">
        <v>0</v>
      </c>
      <c r="CE499" t="str">
        <f>"20:22:22.649"</f>
        <v>20:22:22.649</v>
      </c>
      <c r="CF499">
        <v>648851467</v>
      </c>
      <c r="CS499">
        <v>0</v>
      </c>
      <c r="CT499">
        <v>2</v>
      </c>
      <c r="CU499">
        <v>0</v>
      </c>
      <c r="CV499">
        <v>2</v>
      </c>
      <c r="CW499">
        <v>0</v>
      </c>
      <c r="CX499">
        <v>2</v>
      </c>
      <c r="CY499">
        <v>7</v>
      </c>
      <c r="CZ499" t="s">
        <v>131</v>
      </c>
      <c r="DA499">
        <v>116</v>
      </c>
      <c r="DB499">
        <v>3</v>
      </c>
      <c r="DC499" t="s">
        <v>132</v>
      </c>
      <c r="DD499" t="s">
        <v>133</v>
      </c>
      <c r="DG499">
        <v>8295841</v>
      </c>
      <c r="DI499">
        <v>0</v>
      </c>
      <c r="DJ499">
        <v>0</v>
      </c>
      <c r="DK499">
        <v>1</v>
      </c>
      <c r="DL499">
        <v>0</v>
      </c>
      <c r="DM499">
        <v>0</v>
      </c>
      <c r="DN499">
        <v>0</v>
      </c>
      <c r="DO499">
        <v>0</v>
      </c>
      <c r="DP499">
        <v>1</v>
      </c>
      <c r="DQ499">
        <v>0</v>
      </c>
      <c r="DR499">
        <v>0</v>
      </c>
      <c r="DS499">
        <v>0</v>
      </c>
    </row>
    <row r="500" spans="1:123" x14ac:dyDescent="0.25">
      <c r="A500" t="str">
        <f>"11/29/2023 20:22:23.023"</f>
        <v>11/29/2023 20:22:23.023</v>
      </c>
      <c r="C500" t="str">
        <f t="shared" si="60"/>
        <v>FFDF53C0</v>
      </c>
      <c r="D500" t="s">
        <v>123</v>
      </c>
      <c r="E500">
        <v>14</v>
      </c>
      <c r="F500">
        <v>1014</v>
      </c>
      <c r="G500" t="s">
        <v>124</v>
      </c>
      <c r="J500" t="s">
        <v>125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"20:22:22.648"</f>
        <v>20:22:22.648</v>
      </c>
      <c r="T500" t="str">
        <f>"20:22:22.548"</f>
        <v>20:22:22.548</v>
      </c>
      <c r="U500" t="str">
        <f t="shared" si="56"/>
        <v>AA0632</v>
      </c>
      <c r="V500">
        <v>0</v>
      </c>
      <c r="W500">
        <v>0</v>
      </c>
      <c r="X500">
        <v>2</v>
      </c>
      <c r="Y500">
        <v>0</v>
      </c>
      <c r="AA500">
        <v>0</v>
      </c>
      <c r="AB500">
        <v>9</v>
      </c>
      <c r="AC500">
        <v>3</v>
      </c>
      <c r="AD500">
        <v>0</v>
      </c>
      <c r="AE500">
        <v>10</v>
      </c>
      <c r="AF500" t="s">
        <v>126</v>
      </c>
      <c r="AG500">
        <v>0</v>
      </c>
      <c r="AH500">
        <v>0</v>
      </c>
      <c r="AI500">
        <v>2</v>
      </c>
      <c r="AJ500">
        <v>0</v>
      </c>
      <c r="AK500" t="s">
        <v>380</v>
      </c>
      <c r="AL500">
        <v>31.943156999999999</v>
      </c>
      <c r="AM500" t="s">
        <v>381</v>
      </c>
      <c r="AN500">
        <v>-101.090097</v>
      </c>
      <c r="AQ500" t="s">
        <v>129</v>
      </c>
      <c r="AR500">
        <v>74</v>
      </c>
      <c r="AS500">
        <v>-46</v>
      </c>
      <c r="AT500">
        <v>-128</v>
      </c>
      <c r="BB500" t="str">
        <f t="shared" si="57"/>
        <v>1200</v>
      </c>
      <c r="BC500">
        <v>1</v>
      </c>
      <c r="BD500" t="str">
        <f t="shared" si="59"/>
        <v xml:space="preserve">N745MB  </v>
      </c>
      <c r="BE500">
        <v>1</v>
      </c>
      <c r="BG500">
        <v>0</v>
      </c>
      <c r="BH500">
        <v>0</v>
      </c>
      <c r="BI500">
        <v>0</v>
      </c>
      <c r="BL500" t="s">
        <v>130</v>
      </c>
      <c r="BM500">
        <v>1</v>
      </c>
      <c r="BN500">
        <v>0</v>
      </c>
      <c r="BO500">
        <v>0</v>
      </c>
      <c r="BP500">
        <v>0</v>
      </c>
      <c r="BT500">
        <v>0</v>
      </c>
      <c r="BU500">
        <v>0</v>
      </c>
      <c r="CE500" t="str">
        <f>"20:22:22.649"</f>
        <v>20:22:22.649</v>
      </c>
      <c r="CF500">
        <v>648851467</v>
      </c>
      <c r="CS500">
        <v>0</v>
      </c>
      <c r="CT500">
        <v>2</v>
      </c>
      <c r="CU500">
        <v>0</v>
      </c>
      <c r="CV500">
        <v>2</v>
      </c>
      <c r="CW500">
        <v>0</v>
      </c>
      <c r="CX500">
        <v>2</v>
      </c>
      <c r="CY500">
        <v>7</v>
      </c>
      <c r="CZ500" t="s">
        <v>131</v>
      </c>
      <c r="DA500">
        <v>116</v>
      </c>
      <c r="DB500">
        <v>3</v>
      </c>
      <c r="DC500" t="s">
        <v>132</v>
      </c>
      <c r="DD500" t="s">
        <v>133</v>
      </c>
      <c r="DG500">
        <v>8295841</v>
      </c>
      <c r="DI500">
        <v>0</v>
      </c>
      <c r="DJ500">
        <v>0</v>
      </c>
      <c r="DK500">
        <v>1</v>
      </c>
      <c r="DL500">
        <v>0</v>
      </c>
      <c r="DM500">
        <v>0</v>
      </c>
      <c r="DN500">
        <v>0</v>
      </c>
      <c r="DO500">
        <v>0</v>
      </c>
      <c r="DP500">
        <v>1</v>
      </c>
      <c r="DQ500">
        <v>0</v>
      </c>
      <c r="DR500">
        <v>0</v>
      </c>
      <c r="DS500">
        <v>0</v>
      </c>
    </row>
    <row r="501" spans="1:123" x14ac:dyDescent="0.25">
      <c r="A501" t="str">
        <f>"11/29/2023 20:22:23.023"</f>
        <v>11/29/2023 20:22:23.023</v>
      </c>
      <c r="C501" t="str">
        <f t="shared" si="60"/>
        <v>FFDF53C0</v>
      </c>
      <c r="D501" t="s">
        <v>135</v>
      </c>
      <c r="E501">
        <v>31</v>
      </c>
      <c r="H501">
        <v>285</v>
      </c>
      <c r="I501" t="s">
        <v>136</v>
      </c>
      <c r="J501" t="s">
        <v>137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"20:22:22.648"</f>
        <v>20:22:22.648</v>
      </c>
      <c r="T501" t="str">
        <f>"20:22:22.548"</f>
        <v>20:22:22.548</v>
      </c>
      <c r="U501" t="str">
        <f t="shared" si="56"/>
        <v>AA0632</v>
      </c>
      <c r="V501">
        <v>0</v>
      </c>
      <c r="W501">
        <v>0</v>
      </c>
      <c r="X501">
        <v>2</v>
      </c>
      <c r="Y501">
        <v>0</v>
      </c>
      <c r="AA501">
        <v>0</v>
      </c>
      <c r="AB501">
        <v>9</v>
      </c>
      <c r="AC501">
        <v>3</v>
      </c>
      <c r="AD501">
        <v>0</v>
      </c>
      <c r="AE501">
        <v>10</v>
      </c>
      <c r="AF501" t="s">
        <v>126</v>
      </c>
      <c r="AG501">
        <v>0</v>
      </c>
      <c r="AH501">
        <v>0</v>
      </c>
      <c r="AI501">
        <v>2</v>
      </c>
      <c r="AJ501">
        <v>0</v>
      </c>
      <c r="AK501" t="s">
        <v>380</v>
      </c>
      <c r="AL501">
        <v>31.943156999999999</v>
      </c>
      <c r="AM501" t="s">
        <v>381</v>
      </c>
      <c r="AN501">
        <v>-101.090097</v>
      </c>
      <c r="AQ501" t="s">
        <v>129</v>
      </c>
      <c r="AR501">
        <v>74</v>
      </c>
      <c r="AS501">
        <v>-46</v>
      </c>
      <c r="AT501">
        <v>-128</v>
      </c>
      <c r="BB501" t="str">
        <f t="shared" si="57"/>
        <v>1200</v>
      </c>
      <c r="BC501">
        <v>1</v>
      </c>
      <c r="BD501" t="str">
        <f t="shared" si="59"/>
        <v xml:space="preserve">N745MB  </v>
      </c>
      <c r="BE501">
        <v>1</v>
      </c>
      <c r="BG501">
        <v>0</v>
      </c>
      <c r="BH501">
        <v>0</v>
      </c>
      <c r="BI501">
        <v>0</v>
      </c>
      <c r="BL501" t="s">
        <v>130</v>
      </c>
      <c r="BM501">
        <v>1</v>
      </c>
      <c r="BN501">
        <v>0</v>
      </c>
      <c r="BO501">
        <v>0</v>
      </c>
      <c r="BP501">
        <v>0</v>
      </c>
      <c r="BT501">
        <v>0</v>
      </c>
      <c r="BU501">
        <v>0</v>
      </c>
      <c r="CE501" t="str">
        <f>"20:22:22.649"</f>
        <v>20:22:22.649</v>
      </c>
      <c r="CF501">
        <v>648851467</v>
      </c>
      <c r="CS501">
        <v>0</v>
      </c>
      <c r="CT501">
        <v>2</v>
      </c>
      <c r="CU501">
        <v>0</v>
      </c>
      <c r="CV501">
        <v>2</v>
      </c>
      <c r="CW501">
        <v>0</v>
      </c>
      <c r="CX501">
        <v>2</v>
      </c>
      <c r="CY501">
        <v>7</v>
      </c>
      <c r="CZ501" t="s">
        <v>131</v>
      </c>
      <c r="DA501">
        <v>116</v>
      </c>
      <c r="DB501">
        <v>3</v>
      </c>
      <c r="DC501" t="s">
        <v>132</v>
      </c>
      <c r="DD501" t="s">
        <v>133</v>
      </c>
      <c r="DG501">
        <v>8295841</v>
      </c>
      <c r="DI501">
        <v>0</v>
      </c>
      <c r="DJ501">
        <v>0</v>
      </c>
      <c r="DK501">
        <v>1</v>
      </c>
      <c r="DL501">
        <v>0</v>
      </c>
      <c r="DM501">
        <v>0</v>
      </c>
      <c r="DN501">
        <v>0</v>
      </c>
      <c r="DO501">
        <v>0</v>
      </c>
      <c r="DP501">
        <v>1</v>
      </c>
      <c r="DQ501">
        <v>0</v>
      </c>
      <c r="DR501">
        <v>0</v>
      </c>
      <c r="DS501">
        <v>0</v>
      </c>
    </row>
    <row r="502" spans="1:123" x14ac:dyDescent="0.25">
      <c r="A502" t="str">
        <f>"11/29/2023 20:22:23.992"</f>
        <v>11/29/2023 20:22:23.992</v>
      </c>
      <c r="C502" t="str">
        <f t="shared" si="60"/>
        <v>FFDF53C0</v>
      </c>
      <c r="D502" t="s">
        <v>135</v>
      </c>
      <c r="E502">
        <v>31</v>
      </c>
      <c r="H502">
        <v>285</v>
      </c>
      <c r="I502" t="s">
        <v>136</v>
      </c>
      <c r="J502" t="s">
        <v>137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"20:22:23.734"</f>
        <v>20:22:23.734</v>
      </c>
      <c r="T502" t="str">
        <f>"20:22:23.034"</f>
        <v>20:22:23.034</v>
      </c>
      <c r="U502" t="str">
        <f t="shared" si="56"/>
        <v>AA0632</v>
      </c>
      <c r="V502">
        <v>0</v>
      </c>
      <c r="W502">
        <v>0</v>
      </c>
      <c r="X502">
        <v>2</v>
      </c>
      <c r="Y502">
        <v>0</v>
      </c>
      <c r="AA502">
        <v>0</v>
      </c>
      <c r="AB502">
        <v>9</v>
      </c>
      <c r="AC502">
        <v>3</v>
      </c>
      <c r="AD502">
        <v>0</v>
      </c>
      <c r="AE502">
        <v>10</v>
      </c>
      <c r="AF502" t="s">
        <v>126</v>
      </c>
      <c r="AG502">
        <v>0</v>
      </c>
      <c r="AH502">
        <v>0</v>
      </c>
      <c r="AI502">
        <v>2</v>
      </c>
      <c r="AJ502">
        <v>0</v>
      </c>
      <c r="AK502" t="s">
        <v>382</v>
      </c>
      <c r="AL502">
        <v>31.942941999999999</v>
      </c>
      <c r="AM502" t="s">
        <v>383</v>
      </c>
      <c r="AN502">
        <v>-101.089625</v>
      </c>
      <c r="AQ502" t="s">
        <v>129</v>
      </c>
      <c r="AR502">
        <v>74</v>
      </c>
      <c r="AS502">
        <v>-46</v>
      </c>
      <c r="AT502">
        <v>-192</v>
      </c>
      <c r="BB502" t="str">
        <f t="shared" si="57"/>
        <v>1200</v>
      </c>
      <c r="BC502">
        <v>1</v>
      </c>
      <c r="BD502" t="str">
        <f t="shared" si="59"/>
        <v xml:space="preserve">N745MB  </v>
      </c>
      <c r="BE502">
        <v>1</v>
      </c>
      <c r="BG502">
        <v>0</v>
      </c>
      <c r="BH502">
        <v>0</v>
      </c>
      <c r="BI502">
        <v>0</v>
      </c>
      <c r="BL502" t="s">
        <v>130</v>
      </c>
      <c r="BM502">
        <v>1</v>
      </c>
      <c r="BN502">
        <v>0</v>
      </c>
      <c r="BO502">
        <v>0</v>
      </c>
      <c r="BP502">
        <v>0</v>
      </c>
      <c r="BT502">
        <v>0</v>
      </c>
      <c r="BU502">
        <v>0</v>
      </c>
      <c r="CE502" t="str">
        <f>"20:22:23.739"</f>
        <v>20:22:23.739</v>
      </c>
      <c r="CF502">
        <v>738777597</v>
      </c>
      <c r="CS502">
        <v>0</v>
      </c>
      <c r="CT502">
        <v>2</v>
      </c>
      <c r="CU502">
        <v>0</v>
      </c>
      <c r="CV502">
        <v>2</v>
      </c>
      <c r="CW502">
        <v>0</v>
      </c>
      <c r="CX502">
        <v>3</v>
      </c>
      <c r="CY502">
        <v>7</v>
      </c>
      <c r="CZ502" t="s">
        <v>131</v>
      </c>
      <c r="DA502">
        <v>116</v>
      </c>
      <c r="DB502">
        <v>3</v>
      </c>
      <c r="DC502" t="s">
        <v>132</v>
      </c>
      <c r="DD502" t="s">
        <v>133</v>
      </c>
      <c r="DG502">
        <v>8296413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1</v>
      </c>
      <c r="DQ502">
        <v>0</v>
      </c>
      <c r="DR502">
        <v>0</v>
      </c>
      <c r="DS502">
        <v>0</v>
      </c>
    </row>
    <row r="503" spans="1:123" x14ac:dyDescent="0.25">
      <c r="A503" t="str">
        <f>"11/29/2023 20:22:24.102"</f>
        <v>11/29/2023 20:22:24.102</v>
      </c>
      <c r="C503" t="str">
        <f t="shared" si="60"/>
        <v>FFDF53C0</v>
      </c>
      <c r="D503" t="s">
        <v>123</v>
      </c>
      <c r="E503">
        <v>1</v>
      </c>
      <c r="F503">
        <v>1001</v>
      </c>
      <c r="G503" t="s">
        <v>134</v>
      </c>
      <c r="J503" t="s">
        <v>125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"20:22:23.734"</f>
        <v>20:22:23.734</v>
      </c>
      <c r="T503" t="str">
        <f>"20:22:23.034"</f>
        <v>20:22:23.034</v>
      </c>
      <c r="U503" t="str">
        <f t="shared" si="56"/>
        <v>AA0632</v>
      </c>
      <c r="V503">
        <v>0</v>
      </c>
      <c r="W503">
        <v>0</v>
      </c>
      <c r="X503">
        <v>2</v>
      </c>
      <c r="Y503">
        <v>0</v>
      </c>
      <c r="AA503">
        <v>0</v>
      </c>
      <c r="AB503">
        <v>9</v>
      </c>
      <c r="AC503">
        <v>3</v>
      </c>
      <c r="AD503">
        <v>0</v>
      </c>
      <c r="AE503">
        <v>10</v>
      </c>
      <c r="AF503" t="s">
        <v>126</v>
      </c>
      <c r="AG503">
        <v>0</v>
      </c>
      <c r="AH503">
        <v>0</v>
      </c>
      <c r="AI503">
        <v>2</v>
      </c>
      <c r="AJ503">
        <v>0</v>
      </c>
      <c r="AK503" t="s">
        <v>382</v>
      </c>
      <c r="AL503">
        <v>31.942941999999999</v>
      </c>
      <c r="AM503" t="s">
        <v>383</v>
      </c>
      <c r="AN503">
        <v>-101.089625</v>
      </c>
      <c r="AQ503" t="s">
        <v>129</v>
      </c>
      <c r="AR503">
        <v>74</v>
      </c>
      <c r="AS503">
        <v>-46</v>
      </c>
      <c r="AT503">
        <v>-192</v>
      </c>
      <c r="BB503" t="str">
        <f t="shared" si="57"/>
        <v>1200</v>
      </c>
      <c r="BC503">
        <v>1</v>
      </c>
      <c r="BD503" t="str">
        <f t="shared" si="59"/>
        <v xml:space="preserve">N745MB  </v>
      </c>
      <c r="BE503">
        <v>1</v>
      </c>
      <c r="BG503">
        <v>0</v>
      </c>
      <c r="BH503">
        <v>0</v>
      </c>
      <c r="BI503">
        <v>0</v>
      </c>
      <c r="BL503" t="s">
        <v>130</v>
      </c>
      <c r="BM503">
        <v>1</v>
      </c>
      <c r="BN503">
        <v>0</v>
      </c>
      <c r="BO503">
        <v>0</v>
      </c>
      <c r="BP503">
        <v>0</v>
      </c>
      <c r="BT503">
        <v>0</v>
      </c>
      <c r="BU503">
        <v>0</v>
      </c>
      <c r="CE503" t="str">
        <f>"20:22:23.739"</f>
        <v>20:22:23.739</v>
      </c>
      <c r="CF503">
        <v>738777597</v>
      </c>
      <c r="CS503">
        <v>0</v>
      </c>
      <c r="CT503">
        <v>2</v>
      </c>
      <c r="CU503">
        <v>0</v>
      </c>
      <c r="CV503">
        <v>2</v>
      </c>
      <c r="CW503">
        <v>0</v>
      </c>
      <c r="CX503">
        <v>3</v>
      </c>
      <c r="CY503">
        <v>7</v>
      </c>
      <c r="CZ503" t="s">
        <v>131</v>
      </c>
      <c r="DA503">
        <v>116</v>
      </c>
      <c r="DB503">
        <v>3</v>
      </c>
      <c r="DC503" t="s">
        <v>132</v>
      </c>
      <c r="DD503" t="s">
        <v>133</v>
      </c>
      <c r="DG503">
        <v>8296413</v>
      </c>
      <c r="DI503">
        <v>0</v>
      </c>
      <c r="DJ503">
        <v>0</v>
      </c>
      <c r="DK503">
        <v>1</v>
      </c>
      <c r="DL503">
        <v>0</v>
      </c>
      <c r="DM503">
        <v>0</v>
      </c>
      <c r="DN503">
        <v>0</v>
      </c>
      <c r="DO503">
        <v>0</v>
      </c>
      <c r="DP503">
        <v>1</v>
      </c>
      <c r="DQ503">
        <v>0</v>
      </c>
      <c r="DR503">
        <v>0</v>
      </c>
      <c r="DS503">
        <v>0</v>
      </c>
    </row>
    <row r="504" spans="1:123" x14ac:dyDescent="0.25">
      <c r="A504" t="str">
        <f>"11/29/2023 20:22:24.102"</f>
        <v>11/29/2023 20:22:24.102</v>
      </c>
      <c r="C504" t="str">
        <f t="shared" si="60"/>
        <v>FFDF53C0</v>
      </c>
      <c r="D504" t="s">
        <v>138</v>
      </c>
      <c r="E504">
        <v>3</v>
      </c>
      <c r="H504">
        <v>160</v>
      </c>
      <c r="I504" t="s">
        <v>124</v>
      </c>
      <c r="J504" t="s">
        <v>139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"20:22:23.734"</f>
        <v>20:22:23.734</v>
      </c>
      <c r="T504" t="str">
        <f>"20:22:23.034"</f>
        <v>20:22:23.034</v>
      </c>
      <c r="U504" t="str">
        <f t="shared" si="56"/>
        <v>AA0632</v>
      </c>
      <c r="V504">
        <v>0</v>
      </c>
      <c r="W504">
        <v>0</v>
      </c>
      <c r="X504">
        <v>2</v>
      </c>
      <c r="Y504">
        <v>0</v>
      </c>
      <c r="AA504">
        <v>0</v>
      </c>
      <c r="AB504">
        <v>9</v>
      </c>
      <c r="AC504">
        <v>3</v>
      </c>
      <c r="AD504">
        <v>0</v>
      </c>
      <c r="AE504">
        <v>10</v>
      </c>
      <c r="AF504" t="s">
        <v>126</v>
      </c>
      <c r="AG504">
        <v>0</v>
      </c>
      <c r="AH504">
        <v>0</v>
      </c>
      <c r="AI504">
        <v>2</v>
      </c>
      <c r="AJ504">
        <v>0</v>
      </c>
      <c r="AK504" t="s">
        <v>382</v>
      </c>
      <c r="AL504">
        <v>31.942941999999999</v>
      </c>
      <c r="AM504" t="s">
        <v>383</v>
      </c>
      <c r="AN504">
        <v>-101.089625</v>
      </c>
      <c r="AQ504" t="s">
        <v>129</v>
      </c>
      <c r="AR504">
        <v>74</v>
      </c>
      <c r="AS504">
        <v>-46</v>
      </c>
      <c r="AT504">
        <v>-192</v>
      </c>
      <c r="BB504" t="str">
        <f t="shared" si="57"/>
        <v>1200</v>
      </c>
      <c r="BC504">
        <v>1</v>
      </c>
      <c r="BD504" t="str">
        <f t="shared" si="59"/>
        <v xml:space="preserve">N745MB  </v>
      </c>
      <c r="BE504">
        <v>1</v>
      </c>
      <c r="BG504">
        <v>0</v>
      </c>
      <c r="BH504">
        <v>0</v>
      </c>
      <c r="BI504">
        <v>0</v>
      </c>
      <c r="BL504" t="s">
        <v>130</v>
      </c>
      <c r="BM504">
        <v>1</v>
      </c>
      <c r="BN504">
        <v>0</v>
      </c>
      <c r="BO504">
        <v>0</v>
      </c>
      <c r="BP504">
        <v>0</v>
      </c>
      <c r="BT504">
        <v>0</v>
      </c>
      <c r="BU504">
        <v>0</v>
      </c>
      <c r="CE504" t="str">
        <f>"20:22:23.739"</f>
        <v>20:22:23.739</v>
      </c>
      <c r="CF504">
        <v>738777597</v>
      </c>
      <c r="CS504">
        <v>0</v>
      </c>
      <c r="CT504">
        <v>2</v>
      </c>
      <c r="CU504">
        <v>0</v>
      </c>
      <c r="CV504">
        <v>2</v>
      </c>
      <c r="CW504">
        <v>0</v>
      </c>
      <c r="CX504">
        <v>3</v>
      </c>
      <c r="CY504">
        <v>7</v>
      </c>
      <c r="CZ504" t="s">
        <v>131</v>
      </c>
      <c r="DA504">
        <v>116</v>
      </c>
      <c r="DB504">
        <v>3</v>
      </c>
      <c r="DC504" t="s">
        <v>132</v>
      </c>
      <c r="DD504" t="s">
        <v>133</v>
      </c>
      <c r="DG504">
        <v>8296413</v>
      </c>
      <c r="DI504">
        <v>0</v>
      </c>
      <c r="DJ504">
        <v>0</v>
      </c>
      <c r="DK504">
        <v>1</v>
      </c>
      <c r="DL504">
        <v>0</v>
      </c>
      <c r="DM504">
        <v>0</v>
      </c>
      <c r="DN504">
        <v>0</v>
      </c>
      <c r="DO504">
        <v>0</v>
      </c>
      <c r="DP504">
        <v>1</v>
      </c>
      <c r="DQ504">
        <v>0</v>
      </c>
      <c r="DR504">
        <v>0</v>
      </c>
      <c r="DS504">
        <v>0</v>
      </c>
    </row>
    <row r="505" spans="1:123" x14ac:dyDescent="0.25">
      <c r="A505" t="str">
        <f>"11/29/2023 20:22:24.133"</f>
        <v>11/29/2023 20:22:24.133</v>
      </c>
      <c r="C505" t="str">
        <f t="shared" si="60"/>
        <v>FFDF53C0</v>
      </c>
      <c r="D505" t="s">
        <v>123</v>
      </c>
      <c r="E505">
        <v>14</v>
      </c>
      <c r="F505">
        <v>1014</v>
      </c>
      <c r="G505" t="s">
        <v>124</v>
      </c>
      <c r="J505" t="s">
        <v>125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"20:22:23.734"</f>
        <v>20:22:23.734</v>
      </c>
      <c r="T505" t="str">
        <f>"20:22:23.034"</f>
        <v>20:22:23.034</v>
      </c>
      <c r="U505" t="str">
        <f t="shared" si="56"/>
        <v>AA0632</v>
      </c>
      <c r="V505">
        <v>0</v>
      </c>
      <c r="W505">
        <v>0</v>
      </c>
      <c r="X505">
        <v>2</v>
      </c>
      <c r="Y505">
        <v>0</v>
      </c>
      <c r="AA505">
        <v>0</v>
      </c>
      <c r="AB505">
        <v>9</v>
      </c>
      <c r="AC505">
        <v>3</v>
      </c>
      <c r="AD505">
        <v>0</v>
      </c>
      <c r="AE505">
        <v>10</v>
      </c>
      <c r="AF505" t="s">
        <v>126</v>
      </c>
      <c r="AG505">
        <v>0</v>
      </c>
      <c r="AH505">
        <v>0</v>
      </c>
      <c r="AI505">
        <v>2</v>
      </c>
      <c r="AJ505">
        <v>0</v>
      </c>
      <c r="AK505" t="s">
        <v>382</v>
      </c>
      <c r="AL505">
        <v>31.942941999999999</v>
      </c>
      <c r="AM505" t="s">
        <v>383</v>
      </c>
      <c r="AN505">
        <v>-101.089625</v>
      </c>
      <c r="AQ505" t="s">
        <v>129</v>
      </c>
      <c r="AR505">
        <v>74</v>
      </c>
      <c r="AS505">
        <v>-46</v>
      </c>
      <c r="AT505">
        <v>-192</v>
      </c>
      <c r="BB505" t="str">
        <f t="shared" si="57"/>
        <v>1200</v>
      </c>
      <c r="BC505">
        <v>1</v>
      </c>
      <c r="BD505" t="str">
        <f t="shared" si="59"/>
        <v xml:space="preserve">N745MB  </v>
      </c>
      <c r="BE505">
        <v>1</v>
      </c>
      <c r="BG505">
        <v>0</v>
      </c>
      <c r="BH505">
        <v>0</v>
      </c>
      <c r="BI505">
        <v>0</v>
      </c>
      <c r="BL505" t="s">
        <v>130</v>
      </c>
      <c r="BM505">
        <v>1</v>
      </c>
      <c r="BN505">
        <v>0</v>
      </c>
      <c r="BO505">
        <v>0</v>
      </c>
      <c r="BP505">
        <v>0</v>
      </c>
      <c r="BT505">
        <v>0</v>
      </c>
      <c r="BU505">
        <v>0</v>
      </c>
      <c r="CE505" t="str">
        <f>"20:22:23.739"</f>
        <v>20:22:23.739</v>
      </c>
      <c r="CF505">
        <v>738777597</v>
      </c>
      <c r="CS505">
        <v>0</v>
      </c>
      <c r="CT505">
        <v>2</v>
      </c>
      <c r="CU505">
        <v>0</v>
      </c>
      <c r="CV505">
        <v>2</v>
      </c>
      <c r="CW505">
        <v>0</v>
      </c>
      <c r="CX505">
        <v>3</v>
      </c>
      <c r="CY505">
        <v>7</v>
      </c>
      <c r="CZ505" t="s">
        <v>131</v>
      </c>
      <c r="DA505">
        <v>116</v>
      </c>
      <c r="DB505">
        <v>3</v>
      </c>
      <c r="DC505" t="s">
        <v>132</v>
      </c>
      <c r="DD505" t="s">
        <v>133</v>
      </c>
      <c r="DG505">
        <v>8296413</v>
      </c>
      <c r="DI505">
        <v>0</v>
      </c>
      <c r="DJ505">
        <v>0</v>
      </c>
      <c r="DK505">
        <v>1</v>
      </c>
      <c r="DL505">
        <v>0</v>
      </c>
      <c r="DM505">
        <v>0</v>
      </c>
      <c r="DN505">
        <v>0</v>
      </c>
      <c r="DO505">
        <v>0</v>
      </c>
      <c r="DP505">
        <v>1</v>
      </c>
      <c r="DQ505">
        <v>0</v>
      </c>
      <c r="DR505">
        <v>0</v>
      </c>
      <c r="DS505">
        <v>0</v>
      </c>
    </row>
    <row r="506" spans="1:123" x14ac:dyDescent="0.25">
      <c r="A506" t="str">
        <f>"11/29/2023 20:22:25.680"</f>
        <v>11/29/2023 20:22:25.680</v>
      </c>
      <c r="C506" t="str">
        <f t="shared" si="60"/>
        <v>FFDF53C0</v>
      </c>
      <c r="D506" t="s">
        <v>138</v>
      </c>
      <c r="E506">
        <v>3</v>
      </c>
      <c r="H506">
        <v>160</v>
      </c>
      <c r="I506" t="s">
        <v>124</v>
      </c>
      <c r="J506" t="s">
        <v>139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"20:22:25.320"</f>
        <v>20:22:25.320</v>
      </c>
      <c r="T506" t="str">
        <f>"20:22:25.020"</f>
        <v>20:22:25.020</v>
      </c>
      <c r="U506" t="str">
        <f t="shared" si="56"/>
        <v>AA0632</v>
      </c>
      <c r="V506">
        <v>0</v>
      </c>
      <c r="W506">
        <v>0</v>
      </c>
      <c r="X506">
        <v>2</v>
      </c>
      <c r="Y506">
        <v>0</v>
      </c>
      <c r="AA506">
        <v>0</v>
      </c>
      <c r="AB506">
        <v>9</v>
      </c>
      <c r="AC506">
        <v>3</v>
      </c>
      <c r="AD506">
        <v>0</v>
      </c>
      <c r="AE506">
        <v>10</v>
      </c>
      <c r="AF506" t="s">
        <v>126</v>
      </c>
      <c r="AG506">
        <v>0</v>
      </c>
      <c r="AH506">
        <v>0</v>
      </c>
      <c r="AI506">
        <v>2</v>
      </c>
      <c r="AJ506">
        <v>0</v>
      </c>
      <c r="AK506" t="s">
        <v>384</v>
      </c>
      <c r="AL506">
        <v>31.942599000000001</v>
      </c>
      <c r="AM506" t="s">
        <v>385</v>
      </c>
      <c r="AN506">
        <v>-101.08902500000001</v>
      </c>
      <c r="AQ506" t="s">
        <v>129</v>
      </c>
      <c r="AR506">
        <v>76</v>
      </c>
      <c r="AS506">
        <v>-47</v>
      </c>
      <c r="AT506">
        <v>-256</v>
      </c>
      <c r="BB506" t="str">
        <f t="shared" si="57"/>
        <v>1200</v>
      </c>
      <c r="BC506">
        <v>1</v>
      </c>
      <c r="BD506" t="str">
        <f t="shared" si="59"/>
        <v xml:space="preserve">N745MB  </v>
      </c>
      <c r="BE506">
        <v>1</v>
      </c>
      <c r="BG506">
        <v>0</v>
      </c>
      <c r="BH506">
        <v>0</v>
      </c>
      <c r="BI506">
        <v>0</v>
      </c>
      <c r="BL506" t="s">
        <v>130</v>
      </c>
      <c r="BM506">
        <v>1</v>
      </c>
      <c r="BN506">
        <v>0</v>
      </c>
      <c r="BO506">
        <v>0</v>
      </c>
      <c r="BP506">
        <v>0</v>
      </c>
      <c r="BT506">
        <v>0</v>
      </c>
      <c r="BU506">
        <v>0</v>
      </c>
      <c r="CE506" t="str">
        <f>"20:22:25.323"</f>
        <v>20:22:25.323</v>
      </c>
      <c r="CF506">
        <v>322675356</v>
      </c>
      <c r="CS506">
        <v>0</v>
      </c>
      <c r="CT506">
        <v>2</v>
      </c>
      <c r="CU506">
        <v>0</v>
      </c>
      <c r="CV506">
        <v>2</v>
      </c>
      <c r="CW506">
        <v>0</v>
      </c>
      <c r="CX506">
        <v>1</v>
      </c>
      <c r="CY506">
        <v>7</v>
      </c>
      <c r="CZ506" t="s">
        <v>131</v>
      </c>
      <c r="DA506">
        <v>116</v>
      </c>
      <c r="DB506">
        <v>0</v>
      </c>
      <c r="DC506" t="s">
        <v>132</v>
      </c>
      <c r="DD506" t="s">
        <v>133</v>
      </c>
      <c r="DG506">
        <v>14493220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1</v>
      </c>
      <c r="DQ506">
        <v>0</v>
      </c>
      <c r="DR506">
        <v>0</v>
      </c>
      <c r="DS506">
        <v>0</v>
      </c>
    </row>
    <row r="507" spans="1:123" x14ac:dyDescent="0.25">
      <c r="A507" t="str">
        <f>"11/29/2023 20:22:25.680"</f>
        <v>11/29/2023 20:22:25.680</v>
      </c>
      <c r="C507" t="str">
        <f t="shared" si="60"/>
        <v>FFDF53C0</v>
      </c>
      <c r="D507" t="s">
        <v>123</v>
      </c>
      <c r="E507">
        <v>14</v>
      </c>
      <c r="F507">
        <v>1014</v>
      </c>
      <c r="G507" t="s">
        <v>124</v>
      </c>
      <c r="J507" t="s">
        <v>125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"20:22:25.320"</f>
        <v>20:22:25.320</v>
      </c>
      <c r="T507" t="str">
        <f>"20:22:25.020"</f>
        <v>20:22:25.020</v>
      </c>
      <c r="U507" t="str">
        <f t="shared" si="56"/>
        <v>AA0632</v>
      </c>
      <c r="V507">
        <v>0</v>
      </c>
      <c r="W507">
        <v>0</v>
      </c>
      <c r="X507">
        <v>2</v>
      </c>
      <c r="Y507">
        <v>0</v>
      </c>
      <c r="AA507">
        <v>0</v>
      </c>
      <c r="AB507">
        <v>9</v>
      </c>
      <c r="AC507">
        <v>3</v>
      </c>
      <c r="AD507">
        <v>0</v>
      </c>
      <c r="AE507">
        <v>10</v>
      </c>
      <c r="AF507" t="s">
        <v>126</v>
      </c>
      <c r="AG507">
        <v>0</v>
      </c>
      <c r="AH507">
        <v>0</v>
      </c>
      <c r="AI507">
        <v>2</v>
      </c>
      <c r="AJ507">
        <v>0</v>
      </c>
      <c r="AK507" t="s">
        <v>384</v>
      </c>
      <c r="AL507">
        <v>31.942599000000001</v>
      </c>
      <c r="AM507" t="s">
        <v>385</v>
      </c>
      <c r="AN507">
        <v>-101.08902500000001</v>
      </c>
      <c r="AQ507" t="s">
        <v>129</v>
      </c>
      <c r="AR507">
        <v>76</v>
      </c>
      <c r="AS507">
        <v>-47</v>
      </c>
      <c r="AT507">
        <v>-256</v>
      </c>
      <c r="BB507" t="str">
        <f t="shared" si="57"/>
        <v>1200</v>
      </c>
      <c r="BC507">
        <v>1</v>
      </c>
      <c r="BD507" t="str">
        <f t="shared" si="59"/>
        <v xml:space="preserve">N745MB  </v>
      </c>
      <c r="BE507">
        <v>1</v>
      </c>
      <c r="BG507">
        <v>0</v>
      </c>
      <c r="BH507">
        <v>0</v>
      </c>
      <c r="BI507">
        <v>0</v>
      </c>
      <c r="BL507" t="s">
        <v>130</v>
      </c>
      <c r="BM507">
        <v>1</v>
      </c>
      <c r="BN507">
        <v>0</v>
      </c>
      <c r="BO507">
        <v>0</v>
      </c>
      <c r="BP507">
        <v>0</v>
      </c>
      <c r="BT507">
        <v>0</v>
      </c>
      <c r="BU507">
        <v>0</v>
      </c>
      <c r="CE507" t="str">
        <f>"20:22:25.323"</f>
        <v>20:22:25.323</v>
      </c>
      <c r="CF507">
        <v>322675356</v>
      </c>
      <c r="CS507">
        <v>0</v>
      </c>
      <c r="CT507">
        <v>2</v>
      </c>
      <c r="CU507">
        <v>0</v>
      </c>
      <c r="CV507">
        <v>2</v>
      </c>
      <c r="CW507">
        <v>0</v>
      </c>
      <c r="CX507">
        <v>1</v>
      </c>
      <c r="CY507">
        <v>7</v>
      </c>
      <c r="CZ507" t="s">
        <v>131</v>
      </c>
      <c r="DA507">
        <v>116</v>
      </c>
      <c r="DB507">
        <v>0</v>
      </c>
      <c r="DC507" t="s">
        <v>132</v>
      </c>
      <c r="DD507" t="s">
        <v>133</v>
      </c>
      <c r="DG507">
        <v>14493220</v>
      </c>
      <c r="DI507">
        <v>0</v>
      </c>
      <c r="DJ507">
        <v>0</v>
      </c>
      <c r="DK507">
        <v>1</v>
      </c>
      <c r="DL507">
        <v>0</v>
      </c>
      <c r="DM507">
        <v>0</v>
      </c>
      <c r="DN507">
        <v>0</v>
      </c>
      <c r="DO507">
        <v>0</v>
      </c>
      <c r="DP507">
        <v>1</v>
      </c>
      <c r="DQ507">
        <v>0</v>
      </c>
      <c r="DR507">
        <v>0</v>
      </c>
      <c r="DS507">
        <v>0</v>
      </c>
    </row>
    <row r="508" spans="1:123" x14ac:dyDescent="0.25">
      <c r="A508" t="str">
        <f>"11/29/2023 20:22:25.680"</f>
        <v>11/29/2023 20:22:25.680</v>
      </c>
      <c r="C508" t="str">
        <f t="shared" si="60"/>
        <v>FFDF53C0</v>
      </c>
      <c r="D508" t="s">
        <v>135</v>
      </c>
      <c r="E508">
        <v>31</v>
      </c>
      <c r="H508">
        <v>285</v>
      </c>
      <c r="I508" t="s">
        <v>136</v>
      </c>
      <c r="J508" t="s">
        <v>137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"20:22:25.320"</f>
        <v>20:22:25.320</v>
      </c>
      <c r="T508" t="str">
        <f>"20:22:25.020"</f>
        <v>20:22:25.020</v>
      </c>
      <c r="U508" t="str">
        <f t="shared" si="56"/>
        <v>AA0632</v>
      </c>
      <c r="V508">
        <v>0</v>
      </c>
      <c r="W508">
        <v>0</v>
      </c>
      <c r="X508">
        <v>2</v>
      </c>
      <c r="Y508">
        <v>0</v>
      </c>
      <c r="AA508">
        <v>0</v>
      </c>
      <c r="AB508">
        <v>9</v>
      </c>
      <c r="AC508">
        <v>3</v>
      </c>
      <c r="AD508">
        <v>0</v>
      </c>
      <c r="AE508">
        <v>10</v>
      </c>
      <c r="AF508" t="s">
        <v>126</v>
      </c>
      <c r="AG508">
        <v>0</v>
      </c>
      <c r="AH508">
        <v>0</v>
      </c>
      <c r="AI508">
        <v>2</v>
      </c>
      <c r="AJ508">
        <v>0</v>
      </c>
      <c r="AK508" t="s">
        <v>384</v>
      </c>
      <c r="AL508">
        <v>31.942599000000001</v>
      </c>
      <c r="AM508" t="s">
        <v>385</v>
      </c>
      <c r="AN508">
        <v>-101.08902500000001</v>
      </c>
      <c r="AQ508" t="s">
        <v>129</v>
      </c>
      <c r="AR508">
        <v>76</v>
      </c>
      <c r="AS508">
        <v>-47</v>
      </c>
      <c r="AT508">
        <v>-256</v>
      </c>
      <c r="BB508" t="str">
        <f t="shared" si="57"/>
        <v>1200</v>
      </c>
      <c r="BC508">
        <v>1</v>
      </c>
      <c r="BD508" t="str">
        <f t="shared" si="59"/>
        <v xml:space="preserve">N745MB  </v>
      </c>
      <c r="BE508">
        <v>1</v>
      </c>
      <c r="BG508">
        <v>0</v>
      </c>
      <c r="BH508">
        <v>0</v>
      </c>
      <c r="BI508">
        <v>0</v>
      </c>
      <c r="BL508" t="s">
        <v>130</v>
      </c>
      <c r="BM508">
        <v>1</v>
      </c>
      <c r="BN508">
        <v>0</v>
      </c>
      <c r="BO508">
        <v>0</v>
      </c>
      <c r="BP508">
        <v>0</v>
      </c>
      <c r="BT508">
        <v>0</v>
      </c>
      <c r="BU508">
        <v>0</v>
      </c>
      <c r="CE508" t="str">
        <f>"20:22:25.323"</f>
        <v>20:22:25.323</v>
      </c>
      <c r="CF508">
        <v>322675356</v>
      </c>
      <c r="CS508">
        <v>0</v>
      </c>
      <c r="CT508">
        <v>2</v>
      </c>
      <c r="CU508">
        <v>0</v>
      </c>
      <c r="CV508">
        <v>2</v>
      </c>
      <c r="CW508">
        <v>0</v>
      </c>
      <c r="CX508">
        <v>1</v>
      </c>
      <c r="CY508">
        <v>7</v>
      </c>
      <c r="CZ508" t="s">
        <v>131</v>
      </c>
      <c r="DA508">
        <v>116</v>
      </c>
      <c r="DB508">
        <v>0</v>
      </c>
      <c r="DC508" t="s">
        <v>132</v>
      </c>
      <c r="DD508" t="s">
        <v>133</v>
      </c>
      <c r="DG508">
        <v>14493220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1</v>
      </c>
      <c r="DQ508">
        <v>0</v>
      </c>
      <c r="DR508">
        <v>0</v>
      </c>
      <c r="DS508">
        <v>0</v>
      </c>
    </row>
    <row r="509" spans="1:123" x14ac:dyDescent="0.25">
      <c r="A509" t="str">
        <f>"11/29/2023 20:22:25.758"</f>
        <v>11/29/2023 20:22:25.758</v>
      </c>
      <c r="C509" t="str">
        <f t="shared" si="60"/>
        <v>FFDF53C0</v>
      </c>
      <c r="D509" t="s">
        <v>123</v>
      </c>
      <c r="E509">
        <v>1</v>
      </c>
      <c r="F509">
        <v>1001</v>
      </c>
      <c r="G509" t="s">
        <v>134</v>
      </c>
      <c r="J509" t="s">
        <v>125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"20:22:25.320"</f>
        <v>20:22:25.320</v>
      </c>
      <c r="T509" t="str">
        <f>"20:22:25.020"</f>
        <v>20:22:25.020</v>
      </c>
      <c r="U509" t="str">
        <f t="shared" si="56"/>
        <v>AA0632</v>
      </c>
      <c r="V509">
        <v>0</v>
      </c>
      <c r="W509">
        <v>0</v>
      </c>
      <c r="X509">
        <v>2</v>
      </c>
      <c r="Y509">
        <v>0</v>
      </c>
      <c r="AA509">
        <v>0</v>
      </c>
      <c r="AB509">
        <v>9</v>
      </c>
      <c r="AC509">
        <v>3</v>
      </c>
      <c r="AD509">
        <v>0</v>
      </c>
      <c r="AE509">
        <v>10</v>
      </c>
      <c r="AF509" t="s">
        <v>126</v>
      </c>
      <c r="AG509">
        <v>0</v>
      </c>
      <c r="AH509">
        <v>0</v>
      </c>
      <c r="AI509">
        <v>2</v>
      </c>
      <c r="AJ509">
        <v>0</v>
      </c>
      <c r="AK509" t="s">
        <v>384</v>
      </c>
      <c r="AL509">
        <v>31.942599000000001</v>
      </c>
      <c r="AM509" t="s">
        <v>385</v>
      </c>
      <c r="AN509">
        <v>-101.08902500000001</v>
      </c>
      <c r="AQ509" t="s">
        <v>129</v>
      </c>
      <c r="AR509">
        <v>76</v>
      </c>
      <c r="AS509">
        <v>-47</v>
      </c>
      <c r="AT509">
        <v>-256</v>
      </c>
      <c r="BB509" t="str">
        <f t="shared" si="57"/>
        <v>1200</v>
      </c>
      <c r="BC509">
        <v>1</v>
      </c>
      <c r="BD509" t="str">
        <f t="shared" si="59"/>
        <v xml:space="preserve">N745MB  </v>
      </c>
      <c r="BE509">
        <v>1</v>
      </c>
      <c r="BG509">
        <v>0</v>
      </c>
      <c r="BH509">
        <v>0</v>
      </c>
      <c r="BI509">
        <v>0</v>
      </c>
      <c r="BL509" t="s">
        <v>130</v>
      </c>
      <c r="BM509">
        <v>1</v>
      </c>
      <c r="BN509">
        <v>0</v>
      </c>
      <c r="BO509">
        <v>0</v>
      </c>
      <c r="BP509">
        <v>0</v>
      </c>
      <c r="BT509">
        <v>0</v>
      </c>
      <c r="BU509">
        <v>0</v>
      </c>
      <c r="CE509" t="str">
        <f>"20:22:25.323"</f>
        <v>20:22:25.323</v>
      </c>
      <c r="CF509">
        <v>322675356</v>
      </c>
      <c r="CS509">
        <v>0</v>
      </c>
      <c r="CT509">
        <v>2</v>
      </c>
      <c r="CU509">
        <v>0</v>
      </c>
      <c r="CV509">
        <v>2</v>
      </c>
      <c r="CW509">
        <v>0</v>
      </c>
      <c r="CX509">
        <v>1</v>
      </c>
      <c r="CY509">
        <v>7</v>
      </c>
      <c r="CZ509" t="s">
        <v>131</v>
      </c>
      <c r="DA509">
        <v>116</v>
      </c>
      <c r="DB509">
        <v>0</v>
      </c>
      <c r="DC509" t="s">
        <v>132</v>
      </c>
      <c r="DD509" t="s">
        <v>133</v>
      </c>
      <c r="DG509">
        <v>14493220</v>
      </c>
      <c r="DI509">
        <v>0</v>
      </c>
      <c r="DJ509">
        <v>0</v>
      </c>
      <c r="DK509">
        <v>1</v>
      </c>
      <c r="DL509">
        <v>0</v>
      </c>
      <c r="DM509">
        <v>0</v>
      </c>
      <c r="DN509">
        <v>0</v>
      </c>
      <c r="DO509">
        <v>0</v>
      </c>
      <c r="DP509">
        <v>1</v>
      </c>
      <c r="DQ509">
        <v>0</v>
      </c>
      <c r="DR509">
        <v>0</v>
      </c>
      <c r="DS509">
        <v>0</v>
      </c>
    </row>
    <row r="510" spans="1:123" x14ac:dyDescent="0.25">
      <c r="A510" t="str">
        <f>"11/29/2023 20:22:27.352"</f>
        <v>11/29/2023 20:22:27.352</v>
      </c>
      <c r="C510" t="str">
        <f t="shared" si="60"/>
        <v>FFDF53C0</v>
      </c>
      <c r="D510" t="s">
        <v>138</v>
      </c>
      <c r="E510">
        <v>3</v>
      </c>
      <c r="H510">
        <v>160</v>
      </c>
      <c r="I510" t="s">
        <v>124</v>
      </c>
      <c r="J510" t="s">
        <v>139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"20:22:26.859"</f>
        <v>20:22:26.859</v>
      </c>
      <c r="T510" t="str">
        <f>"20:22:26.359"</f>
        <v>20:22:26.359</v>
      </c>
      <c r="U510" t="str">
        <f t="shared" si="56"/>
        <v>AA0632</v>
      </c>
      <c r="V510">
        <v>0</v>
      </c>
      <c r="W510">
        <v>0</v>
      </c>
      <c r="X510">
        <v>2</v>
      </c>
      <c r="Y510">
        <v>0</v>
      </c>
      <c r="AA510">
        <v>0</v>
      </c>
      <c r="AB510">
        <v>9</v>
      </c>
      <c r="AC510">
        <v>3</v>
      </c>
      <c r="AD510">
        <v>0</v>
      </c>
      <c r="AE510">
        <v>10</v>
      </c>
      <c r="AF510" t="s">
        <v>126</v>
      </c>
      <c r="AG510">
        <v>0</v>
      </c>
      <c r="AH510">
        <v>0</v>
      </c>
      <c r="AI510">
        <v>2</v>
      </c>
      <c r="AJ510">
        <v>0</v>
      </c>
      <c r="AK510" t="s">
        <v>386</v>
      </c>
      <c r="AL510">
        <v>31.942254999999999</v>
      </c>
      <c r="AM510" t="s">
        <v>387</v>
      </c>
      <c r="AN510">
        <v>-101.08833799999999</v>
      </c>
      <c r="AQ510" t="s">
        <v>129</v>
      </c>
      <c r="AR510">
        <v>78</v>
      </c>
      <c r="AS510">
        <v>-47</v>
      </c>
      <c r="AT510">
        <v>-192</v>
      </c>
      <c r="BB510" t="str">
        <f t="shared" si="57"/>
        <v>1200</v>
      </c>
      <c r="BC510">
        <v>1</v>
      </c>
      <c r="BD510" t="str">
        <f t="shared" si="59"/>
        <v xml:space="preserve">N745MB  </v>
      </c>
      <c r="BE510">
        <v>1</v>
      </c>
      <c r="BG510">
        <v>0</v>
      </c>
      <c r="BH510">
        <v>0</v>
      </c>
      <c r="BI510">
        <v>0</v>
      </c>
      <c r="BL510" t="s">
        <v>130</v>
      </c>
      <c r="BM510">
        <v>1</v>
      </c>
      <c r="BN510">
        <v>0</v>
      </c>
      <c r="BO510">
        <v>0</v>
      </c>
      <c r="BP510">
        <v>0</v>
      </c>
      <c r="BT510">
        <v>0</v>
      </c>
      <c r="BU510">
        <v>0</v>
      </c>
      <c r="CE510" t="str">
        <f>"20:22:26.867"</f>
        <v>20:22:26.867</v>
      </c>
      <c r="CF510">
        <v>866558440</v>
      </c>
      <c r="CS510">
        <v>0</v>
      </c>
      <c r="CT510">
        <v>2</v>
      </c>
      <c r="CU510">
        <v>0</v>
      </c>
      <c r="CV510">
        <v>2</v>
      </c>
      <c r="CW510">
        <v>0</v>
      </c>
      <c r="CX510">
        <v>2</v>
      </c>
      <c r="CY510">
        <v>7</v>
      </c>
      <c r="CZ510" t="s">
        <v>131</v>
      </c>
      <c r="DA510">
        <v>116</v>
      </c>
      <c r="DB510">
        <v>3</v>
      </c>
      <c r="DC510" t="s">
        <v>132</v>
      </c>
      <c r="DD510" t="s">
        <v>133</v>
      </c>
      <c r="DG510">
        <v>8298203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1</v>
      </c>
      <c r="DQ510">
        <v>0</v>
      </c>
      <c r="DR510">
        <v>0</v>
      </c>
      <c r="DS510">
        <v>0</v>
      </c>
    </row>
    <row r="511" spans="1:123" x14ac:dyDescent="0.25">
      <c r="A511" t="str">
        <f>"11/29/2023 20:22:27.352"</f>
        <v>11/29/2023 20:22:27.352</v>
      </c>
      <c r="C511" t="str">
        <f t="shared" si="60"/>
        <v>FFDF53C0</v>
      </c>
      <c r="D511" t="s">
        <v>123</v>
      </c>
      <c r="E511">
        <v>14</v>
      </c>
      <c r="F511">
        <v>1014</v>
      </c>
      <c r="G511" t="s">
        <v>124</v>
      </c>
      <c r="J511" t="s">
        <v>125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"20:22:26.859"</f>
        <v>20:22:26.859</v>
      </c>
      <c r="T511" t="str">
        <f>"20:22:26.359"</f>
        <v>20:22:26.359</v>
      </c>
      <c r="U511" t="str">
        <f t="shared" si="56"/>
        <v>AA0632</v>
      </c>
      <c r="V511">
        <v>0</v>
      </c>
      <c r="W511">
        <v>0</v>
      </c>
      <c r="X511">
        <v>2</v>
      </c>
      <c r="Y511">
        <v>0</v>
      </c>
      <c r="AA511">
        <v>0</v>
      </c>
      <c r="AB511">
        <v>9</v>
      </c>
      <c r="AC511">
        <v>3</v>
      </c>
      <c r="AD511">
        <v>0</v>
      </c>
      <c r="AE511">
        <v>10</v>
      </c>
      <c r="AF511" t="s">
        <v>126</v>
      </c>
      <c r="AG511">
        <v>0</v>
      </c>
      <c r="AH511">
        <v>0</v>
      </c>
      <c r="AI511">
        <v>2</v>
      </c>
      <c r="AJ511">
        <v>0</v>
      </c>
      <c r="AK511" t="s">
        <v>386</v>
      </c>
      <c r="AL511">
        <v>31.942254999999999</v>
      </c>
      <c r="AM511" t="s">
        <v>387</v>
      </c>
      <c r="AN511">
        <v>-101.08833799999999</v>
      </c>
      <c r="AQ511" t="s">
        <v>129</v>
      </c>
      <c r="AR511">
        <v>78</v>
      </c>
      <c r="AS511">
        <v>-47</v>
      </c>
      <c r="AT511">
        <v>-192</v>
      </c>
      <c r="BB511" t="str">
        <f t="shared" si="57"/>
        <v>1200</v>
      </c>
      <c r="BC511">
        <v>1</v>
      </c>
      <c r="BD511" t="str">
        <f t="shared" si="59"/>
        <v xml:space="preserve">N745MB  </v>
      </c>
      <c r="BE511">
        <v>1</v>
      </c>
      <c r="BG511">
        <v>0</v>
      </c>
      <c r="BH511">
        <v>0</v>
      </c>
      <c r="BI511">
        <v>0</v>
      </c>
      <c r="BL511" t="s">
        <v>130</v>
      </c>
      <c r="BM511">
        <v>1</v>
      </c>
      <c r="BN511">
        <v>0</v>
      </c>
      <c r="BO511">
        <v>0</v>
      </c>
      <c r="BP511">
        <v>0</v>
      </c>
      <c r="BT511">
        <v>0</v>
      </c>
      <c r="BU511">
        <v>0</v>
      </c>
      <c r="CE511" t="str">
        <f>"20:22:26.867"</f>
        <v>20:22:26.867</v>
      </c>
      <c r="CF511">
        <v>866558440</v>
      </c>
      <c r="CS511">
        <v>0</v>
      </c>
      <c r="CT511">
        <v>2</v>
      </c>
      <c r="CU511">
        <v>0</v>
      </c>
      <c r="CV511">
        <v>2</v>
      </c>
      <c r="CW511">
        <v>0</v>
      </c>
      <c r="CX511">
        <v>2</v>
      </c>
      <c r="CY511">
        <v>7</v>
      </c>
      <c r="CZ511" t="s">
        <v>131</v>
      </c>
      <c r="DA511">
        <v>116</v>
      </c>
      <c r="DB511">
        <v>3</v>
      </c>
      <c r="DC511" t="s">
        <v>132</v>
      </c>
      <c r="DD511" t="s">
        <v>133</v>
      </c>
      <c r="DG511">
        <v>8298203</v>
      </c>
      <c r="DI511">
        <v>0</v>
      </c>
      <c r="DJ511">
        <v>0</v>
      </c>
      <c r="DK511">
        <v>1</v>
      </c>
      <c r="DL511">
        <v>0</v>
      </c>
      <c r="DM511">
        <v>0</v>
      </c>
      <c r="DN511">
        <v>0</v>
      </c>
      <c r="DO511">
        <v>0</v>
      </c>
      <c r="DP511">
        <v>1</v>
      </c>
      <c r="DQ511">
        <v>0</v>
      </c>
      <c r="DR511">
        <v>0</v>
      </c>
      <c r="DS511">
        <v>0</v>
      </c>
    </row>
    <row r="512" spans="1:123" x14ac:dyDescent="0.25">
      <c r="A512" t="str">
        <f>"11/29/2023 20:22:27.352"</f>
        <v>11/29/2023 20:22:27.352</v>
      </c>
      <c r="C512" t="str">
        <f t="shared" si="60"/>
        <v>FFDF53C0</v>
      </c>
      <c r="D512" t="s">
        <v>135</v>
      </c>
      <c r="E512">
        <v>31</v>
      </c>
      <c r="H512">
        <v>285</v>
      </c>
      <c r="I512" t="s">
        <v>136</v>
      </c>
      <c r="J512" t="s">
        <v>137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"20:22:26.859"</f>
        <v>20:22:26.859</v>
      </c>
      <c r="T512" t="str">
        <f>"20:22:26.359"</f>
        <v>20:22:26.359</v>
      </c>
      <c r="U512" t="str">
        <f t="shared" si="56"/>
        <v>AA0632</v>
      </c>
      <c r="V512">
        <v>0</v>
      </c>
      <c r="W512">
        <v>0</v>
      </c>
      <c r="X512">
        <v>2</v>
      </c>
      <c r="Y512">
        <v>0</v>
      </c>
      <c r="AA512">
        <v>0</v>
      </c>
      <c r="AB512">
        <v>9</v>
      </c>
      <c r="AC512">
        <v>3</v>
      </c>
      <c r="AD512">
        <v>0</v>
      </c>
      <c r="AE512">
        <v>10</v>
      </c>
      <c r="AF512" t="s">
        <v>126</v>
      </c>
      <c r="AG512">
        <v>0</v>
      </c>
      <c r="AH512">
        <v>0</v>
      </c>
      <c r="AI512">
        <v>2</v>
      </c>
      <c r="AJ512">
        <v>0</v>
      </c>
      <c r="AK512" t="s">
        <v>386</v>
      </c>
      <c r="AL512">
        <v>31.942254999999999</v>
      </c>
      <c r="AM512" t="s">
        <v>387</v>
      </c>
      <c r="AN512">
        <v>-101.08833799999999</v>
      </c>
      <c r="AQ512" t="s">
        <v>129</v>
      </c>
      <c r="AR512">
        <v>78</v>
      </c>
      <c r="AS512">
        <v>-47</v>
      </c>
      <c r="AT512">
        <v>-192</v>
      </c>
      <c r="BB512" t="str">
        <f t="shared" si="57"/>
        <v>1200</v>
      </c>
      <c r="BC512">
        <v>1</v>
      </c>
      <c r="BD512" t="str">
        <f t="shared" si="59"/>
        <v xml:space="preserve">N745MB  </v>
      </c>
      <c r="BE512">
        <v>1</v>
      </c>
      <c r="BG512">
        <v>0</v>
      </c>
      <c r="BH512">
        <v>0</v>
      </c>
      <c r="BI512">
        <v>0</v>
      </c>
      <c r="BL512" t="s">
        <v>130</v>
      </c>
      <c r="BM512">
        <v>1</v>
      </c>
      <c r="BN512">
        <v>0</v>
      </c>
      <c r="BO512">
        <v>0</v>
      </c>
      <c r="BP512">
        <v>0</v>
      </c>
      <c r="BT512">
        <v>0</v>
      </c>
      <c r="BU512">
        <v>0</v>
      </c>
      <c r="CE512" t="str">
        <f>"20:22:26.867"</f>
        <v>20:22:26.867</v>
      </c>
      <c r="CF512">
        <v>866558440</v>
      </c>
      <c r="CS512">
        <v>0</v>
      </c>
      <c r="CT512">
        <v>2</v>
      </c>
      <c r="CU512">
        <v>0</v>
      </c>
      <c r="CV512">
        <v>2</v>
      </c>
      <c r="CW512">
        <v>0</v>
      </c>
      <c r="CX512">
        <v>2</v>
      </c>
      <c r="CY512">
        <v>7</v>
      </c>
      <c r="CZ512" t="s">
        <v>131</v>
      </c>
      <c r="DA512">
        <v>116</v>
      </c>
      <c r="DB512">
        <v>3</v>
      </c>
      <c r="DC512" t="s">
        <v>132</v>
      </c>
      <c r="DD512" t="s">
        <v>133</v>
      </c>
      <c r="DG512">
        <v>8298203</v>
      </c>
      <c r="DI512">
        <v>0</v>
      </c>
      <c r="DJ512">
        <v>0</v>
      </c>
      <c r="DK512">
        <v>1</v>
      </c>
      <c r="DL512">
        <v>0</v>
      </c>
      <c r="DM512">
        <v>0</v>
      </c>
      <c r="DN512">
        <v>0</v>
      </c>
      <c r="DO512">
        <v>0</v>
      </c>
      <c r="DP512">
        <v>1</v>
      </c>
      <c r="DQ512">
        <v>0</v>
      </c>
      <c r="DR512">
        <v>0</v>
      </c>
      <c r="DS512">
        <v>0</v>
      </c>
    </row>
    <row r="513" spans="1:123" x14ac:dyDescent="0.25">
      <c r="A513" t="str">
        <f>"11/29/2023 20:22:28.774"</f>
        <v>11/29/2023 20:22:28.774</v>
      </c>
      <c r="C513" t="str">
        <f t="shared" si="60"/>
        <v>FFDF53C0</v>
      </c>
      <c r="D513" t="s">
        <v>138</v>
      </c>
      <c r="E513">
        <v>3</v>
      </c>
      <c r="H513">
        <v>160</v>
      </c>
      <c r="I513" t="s">
        <v>124</v>
      </c>
      <c r="J513" t="s">
        <v>139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"20:22:28.383"</f>
        <v>20:22:28.383</v>
      </c>
      <c r="T513" t="str">
        <f>"20:22:28.283"</f>
        <v>20:22:28.283</v>
      </c>
      <c r="U513" t="str">
        <f t="shared" si="56"/>
        <v>AA0632</v>
      </c>
      <c r="V513">
        <v>0</v>
      </c>
      <c r="W513">
        <v>0</v>
      </c>
      <c r="X513">
        <v>2</v>
      </c>
      <c r="Y513">
        <v>0</v>
      </c>
      <c r="AA513">
        <v>0</v>
      </c>
      <c r="AB513">
        <v>9</v>
      </c>
      <c r="AC513">
        <v>3</v>
      </c>
      <c r="AD513">
        <v>0</v>
      </c>
      <c r="AE513">
        <v>10</v>
      </c>
      <c r="AF513" t="s">
        <v>126</v>
      </c>
      <c r="AG513">
        <v>0</v>
      </c>
      <c r="AH513">
        <v>0</v>
      </c>
      <c r="AI513">
        <v>2</v>
      </c>
      <c r="AJ513">
        <v>0</v>
      </c>
      <c r="AK513" t="s">
        <v>388</v>
      </c>
      <c r="AL513">
        <v>31.941911999999999</v>
      </c>
      <c r="AM513" t="s">
        <v>389</v>
      </c>
      <c r="AN513">
        <v>-101.087673</v>
      </c>
      <c r="AQ513" t="s">
        <v>129</v>
      </c>
      <c r="AR513">
        <v>80</v>
      </c>
      <c r="AS513">
        <v>-48</v>
      </c>
      <c r="AT513">
        <v>-64</v>
      </c>
      <c r="BB513" t="str">
        <f t="shared" si="57"/>
        <v>1200</v>
      </c>
      <c r="BC513">
        <v>1</v>
      </c>
      <c r="BD513" t="str">
        <f t="shared" si="59"/>
        <v xml:space="preserve">N745MB  </v>
      </c>
      <c r="BE513">
        <v>1</v>
      </c>
      <c r="BG513">
        <v>0</v>
      </c>
      <c r="BH513">
        <v>0</v>
      </c>
      <c r="BI513">
        <v>0</v>
      </c>
      <c r="BL513" t="s">
        <v>130</v>
      </c>
      <c r="BM513">
        <v>1</v>
      </c>
      <c r="BN513">
        <v>0</v>
      </c>
      <c r="BO513">
        <v>0</v>
      </c>
      <c r="BP513">
        <v>0</v>
      </c>
      <c r="BT513">
        <v>0</v>
      </c>
      <c r="BU513">
        <v>0</v>
      </c>
      <c r="CE513" t="str">
        <f>"20:22:28.388"</f>
        <v>20:22:28.388</v>
      </c>
      <c r="CF513">
        <v>388454902</v>
      </c>
      <c r="CS513">
        <v>0</v>
      </c>
      <c r="CT513">
        <v>2</v>
      </c>
      <c r="CU513">
        <v>0</v>
      </c>
      <c r="CV513">
        <v>2</v>
      </c>
      <c r="CW513">
        <v>0</v>
      </c>
      <c r="CX513">
        <v>2</v>
      </c>
      <c r="CY513">
        <v>7</v>
      </c>
      <c r="CZ513" t="s">
        <v>131</v>
      </c>
      <c r="DA513">
        <v>116</v>
      </c>
      <c r="DB513">
        <v>0</v>
      </c>
      <c r="DC513" t="s">
        <v>132</v>
      </c>
      <c r="DD513" t="s">
        <v>133</v>
      </c>
      <c r="DG513">
        <v>14495881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1</v>
      </c>
      <c r="DQ513">
        <v>0</v>
      </c>
      <c r="DR513">
        <v>0</v>
      </c>
      <c r="DS513">
        <v>0</v>
      </c>
    </row>
    <row r="514" spans="1:123" x14ac:dyDescent="0.25">
      <c r="A514" t="str">
        <f>"11/29/2023 20:22:28.774"</f>
        <v>11/29/2023 20:22:28.774</v>
      </c>
      <c r="C514" t="str">
        <f t="shared" si="60"/>
        <v>FFDF53C0</v>
      </c>
      <c r="D514" t="s">
        <v>123</v>
      </c>
      <c r="E514">
        <v>14</v>
      </c>
      <c r="F514">
        <v>1014</v>
      </c>
      <c r="G514" t="s">
        <v>124</v>
      </c>
      <c r="J514" t="s">
        <v>125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"20:22:28.383"</f>
        <v>20:22:28.383</v>
      </c>
      <c r="T514" t="str">
        <f>"20:22:28.283"</f>
        <v>20:22:28.283</v>
      </c>
      <c r="U514" t="str">
        <f t="shared" ref="U514:U577" si="63">"AA0632"</f>
        <v>AA0632</v>
      </c>
      <c r="V514">
        <v>0</v>
      </c>
      <c r="W514">
        <v>0</v>
      </c>
      <c r="X514">
        <v>2</v>
      </c>
      <c r="Y514">
        <v>0</v>
      </c>
      <c r="AA514">
        <v>0</v>
      </c>
      <c r="AB514">
        <v>9</v>
      </c>
      <c r="AC514">
        <v>3</v>
      </c>
      <c r="AD514">
        <v>0</v>
      </c>
      <c r="AE514">
        <v>10</v>
      </c>
      <c r="AF514" t="s">
        <v>126</v>
      </c>
      <c r="AG514">
        <v>0</v>
      </c>
      <c r="AH514">
        <v>0</v>
      </c>
      <c r="AI514">
        <v>2</v>
      </c>
      <c r="AJ514">
        <v>0</v>
      </c>
      <c r="AK514" t="s">
        <v>388</v>
      </c>
      <c r="AL514">
        <v>31.941911999999999</v>
      </c>
      <c r="AM514" t="s">
        <v>389</v>
      </c>
      <c r="AN514">
        <v>-101.087673</v>
      </c>
      <c r="AQ514" t="s">
        <v>129</v>
      </c>
      <c r="AR514">
        <v>80</v>
      </c>
      <c r="AS514">
        <v>-48</v>
      </c>
      <c r="AT514">
        <v>-64</v>
      </c>
      <c r="BB514" t="str">
        <f t="shared" ref="BB514:BB577" si="64">"1200"</f>
        <v>1200</v>
      </c>
      <c r="BC514">
        <v>1</v>
      </c>
      <c r="BD514" t="str">
        <f t="shared" si="59"/>
        <v xml:space="preserve">N745MB  </v>
      </c>
      <c r="BE514">
        <v>1</v>
      </c>
      <c r="BG514">
        <v>0</v>
      </c>
      <c r="BH514">
        <v>0</v>
      </c>
      <c r="BI514">
        <v>0</v>
      </c>
      <c r="BL514" t="s">
        <v>130</v>
      </c>
      <c r="BM514">
        <v>1</v>
      </c>
      <c r="BN514">
        <v>0</v>
      </c>
      <c r="BO514">
        <v>0</v>
      </c>
      <c r="BP514">
        <v>0</v>
      </c>
      <c r="BT514">
        <v>0</v>
      </c>
      <c r="BU514">
        <v>0</v>
      </c>
      <c r="CE514" t="str">
        <f>"20:22:28.388"</f>
        <v>20:22:28.388</v>
      </c>
      <c r="CF514">
        <v>388454902</v>
      </c>
      <c r="CS514">
        <v>0</v>
      </c>
      <c r="CT514">
        <v>2</v>
      </c>
      <c r="CU514">
        <v>0</v>
      </c>
      <c r="CV514">
        <v>2</v>
      </c>
      <c r="CW514">
        <v>0</v>
      </c>
      <c r="CX514">
        <v>2</v>
      </c>
      <c r="CY514">
        <v>7</v>
      </c>
      <c r="CZ514" t="s">
        <v>131</v>
      </c>
      <c r="DA514">
        <v>116</v>
      </c>
      <c r="DB514">
        <v>0</v>
      </c>
      <c r="DC514" t="s">
        <v>132</v>
      </c>
      <c r="DD514" t="s">
        <v>133</v>
      </c>
      <c r="DG514">
        <v>14495881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1</v>
      </c>
      <c r="DQ514">
        <v>0</v>
      </c>
      <c r="DR514">
        <v>0</v>
      </c>
      <c r="DS514">
        <v>0</v>
      </c>
    </row>
    <row r="515" spans="1:123" x14ac:dyDescent="0.25">
      <c r="A515" t="str">
        <f>"11/29/2023 20:22:28.789"</f>
        <v>11/29/2023 20:22:28.789</v>
      </c>
      <c r="C515" t="str">
        <f t="shared" si="60"/>
        <v>FFDF53C0</v>
      </c>
      <c r="D515" t="s">
        <v>135</v>
      </c>
      <c r="E515">
        <v>31</v>
      </c>
      <c r="H515">
        <v>285</v>
      </c>
      <c r="I515" t="s">
        <v>136</v>
      </c>
      <c r="J515" t="s">
        <v>137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"20:22:28.383"</f>
        <v>20:22:28.383</v>
      </c>
      <c r="T515" t="str">
        <f>"20:22:28.283"</f>
        <v>20:22:28.283</v>
      </c>
      <c r="U515" t="str">
        <f t="shared" si="63"/>
        <v>AA0632</v>
      </c>
      <c r="V515">
        <v>0</v>
      </c>
      <c r="W515">
        <v>0</v>
      </c>
      <c r="X515">
        <v>2</v>
      </c>
      <c r="Y515">
        <v>0</v>
      </c>
      <c r="AA515">
        <v>0</v>
      </c>
      <c r="AB515">
        <v>9</v>
      </c>
      <c r="AC515">
        <v>3</v>
      </c>
      <c r="AD515">
        <v>0</v>
      </c>
      <c r="AE515">
        <v>10</v>
      </c>
      <c r="AF515" t="s">
        <v>126</v>
      </c>
      <c r="AG515">
        <v>0</v>
      </c>
      <c r="AH515">
        <v>0</v>
      </c>
      <c r="AI515">
        <v>2</v>
      </c>
      <c r="AJ515">
        <v>0</v>
      </c>
      <c r="AK515" t="s">
        <v>388</v>
      </c>
      <c r="AL515">
        <v>31.941911999999999</v>
      </c>
      <c r="AM515" t="s">
        <v>389</v>
      </c>
      <c r="AN515">
        <v>-101.087673</v>
      </c>
      <c r="AQ515" t="s">
        <v>129</v>
      </c>
      <c r="AR515">
        <v>80</v>
      </c>
      <c r="AS515">
        <v>-48</v>
      </c>
      <c r="AT515">
        <v>-64</v>
      </c>
      <c r="BB515" t="str">
        <f t="shared" si="64"/>
        <v>1200</v>
      </c>
      <c r="BC515">
        <v>1</v>
      </c>
      <c r="BD515" t="str">
        <f t="shared" si="59"/>
        <v xml:space="preserve">N745MB  </v>
      </c>
      <c r="BE515">
        <v>1</v>
      </c>
      <c r="BG515">
        <v>0</v>
      </c>
      <c r="BH515">
        <v>0</v>
      </c>
      <c r="BI515">
        <v>0</v>
      </c>
      <c r="BL515" t="s">
        <v>130</v>
      </c>
      <c r="BM515">
        <v>1</v>
      </c>
      <c r="BN515">
        <v>0</v>
      </c>
      <c r="BO515">
        <v>0</v>
      </c>
      <c r="BP515">
        <v>0</v>
      </c>
      <c r="BT515">
        <v>0</v>
      </c>
      <c r="BU515">
        <v>0</v>
      </c>
      <c r="CE515" t="str">
        <f>"20:22:28.388"</f>
        <v>20:22:28.388</v>
      </c>
      <c r="CF515">
        <v>388454902</v>
      </c>
      <c r="CS515">
        <v>0</v>
      </c>
      <c r="CT515">
        <v>2</v>
      </c>
      <c r="CU515">
        <v>0</v>
      </c>
      <c r="CV515">
        <v>2</v>
      </c>
      <c r="CW515">
        <v>0</v>
      </c>
      <c r="CX515">
        <v>2</v>
      </c>
      <c r="CY515">
        <v>7</v>
      </c>
      <c r="CZ515" t="s">
        <v>131</v>
      </c>
      <c r="DA515">
        <v>116</v>
      </c>
      <c r="DB515">
        <v>0</v>
      </c>
      <c r="DC515" t="s">
        <v>132</v>
      </c>
      <c r="DD515" t="s">
        <v>133</v>
      </c>
      <c r="DG515">
        <v>14495881</v>
      </c>
      <c r="DI515">
        <v>0</v>
      </c>
      <c r="DJ515">
        <v>0</v>
      </c>
      <c r="DK515">
        <v>1</v>
      </c>
      <c r="DL515">
        <v>0</v>
      </c>
      <c r="DM515">
        <v>0</v>
      </c>
      <c r="DN515">
        <v>0</v>
      </c>
      <c r="DO515">
        <v>0</v>
      </c>
      <c r="DP515">
        <v>1</v>
      </c>
      <c r="DQ515">
        <v>0</v>
      </c>
      <c r="DR515">
        <v>0</v>
      </c>
      <c r="DS515">
        <v>0</v>
      </c>
    </row>
    <row r="516" spans="1:123" x14ac:dyDescent="0.25">
      <c r="A516" t="str">
        <f>"11/29/2023 20:22:28.805"</f>
        <v>11/29/2023 20:22:28.805</v>
      </c>
      <c r="C516" t="str">
        <f t="shared" ref="C516:C547" si="65">"FFDF53C0"</f>
        <v>FFDF53C0</v>
      </c>
      <c r="D516" t="s">
        <v>123</v>
      </c>
      <c r="E516">
        <v>1</v>
      </c>
      <c r="F516">
        <v>1001</v>
      </c>
      <c r="G516" t="s">
        <v>134</v>
      </c>
      <c r="J516" t="s">
        <v>125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"20:22:28.383"</f>
        <v>20:22:28.383</v>
      </c>
      <c r="T516" t="str">
        <f>"20:22:28.283"</f>
        <v>20:22:28.283</v>
      </c>
      <c r="U516" t="str">
        <f t="shared" si="63"/>
        <v>AA0632</v>
      </c>
      <c r="V516">
        <v>0</v>
      </c>
      <c r="W516">
        <v>0</v>
      </c>
      <c r="X516">
        <v>2</v>
      </c>
      <c r="Y516">
        <v>0</v>
      </c>
      <c r="AA516">
        <v>0</v>
      </c>
      <c r="AB516">
        <v>9</v>
      </c>
      <c r="AC516">
        <v>3</v>
      </c>
      <c r="AD516">
        <v>0</v>
      </c>
      <c r="AE516">
        <v>10</v>
      </c>
      <c r="AF516" t="s">
        <v>126</v>
      </c>
      <c r="AG516">
        <v>0</v>
      </c>
      <c r="AH516">
        <v>0</v>
      </c>
      <c r="AI516">
        <v>2</v>
      </c>
      <c r="AJ516">
        <v>0</v>
      </c>
      <c r="AK516" t="s">
        <v>388</v>
      </c>
      <c r="AL516">
        <v>31.941911999999999</v>
      </c>
      <c r="AM516" t="s">
        <v>389</v>
      </c>
      <c r="AN516">
        <v>-101.087673</v>
      </c>
      <c r="AQ516" t="s">
        <v>129</v>
      </c>
      <c r="AR516">
        <v>80</v>
      </c>
      <c r="AS516">
        <v>-48</v>
      </c>
      <c r="AT516">
        <v>-64</v>
      </c>
      <c r="BB516" t="str">
        <f t="shared" si="64"/>
        <v>1200</v>
      </c>
      <c r="BC516">
        <v>1</v>
      </c>
      <c r="BD516" t="str">
        <f t="shared" si="59"/>
        <v xml:space="preserve">N745MB  </v>
      </c>
      <c r="BE516">
        <v>1</v>
      </c>
      <c r="BG516">
        <v>0</v>
      </c>
      <c r="BH516">
        <v>0</v>
      </c>
      <c r="BI516">
        <v>0</v>
      </c>
      <c r="BL516" t="s">
        <v>130</v>
      </c>
      <c r="BM516">
        <v>1</v>
      </c>
      <c r="BN516">
        <v>0</v>
      </c>
      <c r="BO516">
        <v>0</v>
      </c>
      <c r="BP516">
        <v>0</v>
      </c>
      <c r="BT516">
        <v>0</v>
      </c>
      <c r="BU516">
        <v>0</v>
      </c>
      <c r="CE516" t="str">
        <f>"20:22:28.388"</f>
        <v>20:22:28.388</v>
      </c>
      <c r="CF516">
        <v>388454902</v>
      </c>
      <c r="CS516">
        <v>0</v>
      </c>
      <c r="CT516">
        <v>2</v>
      </c>
      <c r="CU516">
        <v>0</v>
      </c>
      <c r="CV516">
        <v>2</v>
      </c>
      <c r="CW516">
        <v>0</v>
      </c>
      <c r="CX516">
        <v>2</v>
      </c>
      <c r="CY516">
        <v>7</v>
      </c>
      <c r="CZ516" t="s">
        <v>131</v>
      </c>
      <c r="DA516">
        <v>116</v>
      </c>
      <c r="DB516">
        <v>0</v>
      </c>
      <c r="DC516" t="s">
        <v>132</v>
      </c>
      <c r="DD516" t="s">
        <v>133</v>
      </c>
      <c r="DG516">
        <v>14495881</v>
      </c>
      <c r="DI516">
        <v>0</v>
      </c>
      <c r="DJ516">
        <v>0</v>
      </c>
      <c r="DK516">
        <v>1</v>
      </c>
      <c r="DL516">
        <v>0</v>
      </c>
      <c r="DM516">
        <v>0</v>
      </c>
      <c r="DN516">
        <v>0</v>
      </c>
      <c r="DO516">
        <v>0</v>
      </c>
      <c r="DP516">
        <v>1</v>
      </c>
      <c r="DQ516">
        <v>0</v>
      </c>
      <c r="DR516">
        <v>0</v>
      </c>
      <c r="DS516">
        <v>0</v>
      </c>
    </row>
    <row r="517" spans="1:123" x14ac:dyDescent="0.25">
      <c r="A517" t="str">
        <f>"11/29/2023 20:22:30.055"</f>
        <v>11/29/2023 20:22:30.055</v>
      </c>
      <c r="C517" t="str">
        <f t="shared" si="65"/>
        <v>FFDF53C0</v>
      </c>
      <c r="D517" t="s">
        <v>123</v>
      </c>
      <c r="E517">
        <v>1</v>
      </c>
      <c r="F517">
        <v>1001</v>
      </c>
      <c r="G517" t="s">
        <v>134</v>
      </c>
      <c r="J517" t="s">
        <v>125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"20:22:29.773"</f>
        <v>20:22:29.773</v>
      </c>
      <c r="T517" t="str">
        <f>"20:22:28.873"</f>
        <v>20:22:28.873</v>
      </c>
      <c r="U517" t="str">
        <f t="shared" si="63"/>
        <v>AA0632</v>
      </c>
      <c r="V517">
        <v>0</v>
      </c>
      <c r="W517">
        <v>0</v>
      </c>
      <c r="X517">
        <v>2</v>
      </c>
      <c r="Y517">
        <v>0</v>
      </c>
      <c r="AA517">
        <v>0</v>
      </c>
      <c r="AB517">
        <v>9</v>
      </c>
      <c r="AC517">
        <v>3</v>
      </c>
      <c r="AD517">
        <v>0</v>
      </c>
      <c r="AE517">
        <v>10</v>
      </c>
      <c r="AF517" t="s">
        <v>126</v>
      </c>
      <c r="AG517">
        <v>0</v>
      </c>
      <c r="AH517">
        <v>0</v>
      </c>
      <c r="AI517">
        <v>2</v>
      </c>
      <c r="AJ517">
        <v>0</v>
      </c>
      <c r="AK517" t="s">
        <v>390</v>
      </c>
      <c r="AL517">
        <v>31.941590000000001</v>
      </c>
      <c r="AM517" t="s">
        <v>391</v>
      </c>
      <c r="AN517">
        <v>-101.08705</v>
      </c>
      <c r="AQ517" t="s">
        <v>129</v>
      </c>
      <c r="AR517">
        <v>80</v>
      </c>
      <c r="AS517">
        <v>-48</v>
      </c>
      <c r="AT517">
        <v>-64</v>
      </c>
      <c r="BB517" t="str">
        <f t="shared" si="64"/>
        <v>1200</v>
      </c>
      <c r="BC517">
        <v>1</v>
      </c>
      <c r="BD517" t="str">
        <f t="shared" si="59"/>
        <v xml:space="preserve">N745MB  </v>
      </c>
      <c r="BE517">
        <v>1</v>
      </c>
      <c r="BG517">
        <v>0</v>
      </c>
      <c r="BH517">
        <v>0</v>
      </c>
      <c r="BI517">
        <v>0</v>
      </c>
      <c r="BL517" t="s">
        <v>130</v>
      </c>
      <c r="BM517">
        <v>1</v>
      </c>
      <c r="BN517">
        <v>0</v>
      </c>
      <c r="BO517">
        <v>0</v>
      </c>
      <c r="BP517">
        <v>0</v>
      </c>
      <c r="BT517">
        <v>0</v>
      </c>
      <c r="BU517">
        <v>0</v>
      </c>
      <c r="CE517" t="str">
        <f>"20:22:29.778"</f>
        <v>20:22:29.778</v>
      </c>
      <c r="CF517">
        <v>778358903</v>
      </c>
      <c r="CS517">
        <v>0</v>
      </c>
      <c r="CT517">
        <v>2</v>
      </c>
      <c r="CU517">
        <v>0</v>
      </c>
      <c r="CV517">
        <v>2</v>
      </c>
      <c r="CW517">
        <v>0</v>
      </c>
      <c r="CX517">
        <v>2</v>
      </c>
      <c r="CY517">
        <v>7</v>
      </c>
      <c r="CZ517" t="s">
        <v>131</v>
      </c>
      <c r="DA517">
        <v>116</v>
      </c>
      <c r="DB517">
        <v>0</v>
      </c>
      <c r="DC517" t="s">
        <v>132</v>
      </c>
      <c r="DD517" t="s">
        <v>133</v>
      </c>
      <c r="DG517">
        <v>14497108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1</v>
      </c>
      <c r="DQ517">
        <v>0</v>
      </c>
      <c r="DR517">
        <v>0</v>
      </c>
      <c r="DS517">
        <v>0</v>
      </c>
    </row>
    <row r="518" spans="1:123" x14ac:dyDescent="0.25">
      <c r="A518" t="str">
        <f>"11/29/2023 20:22:30.055"</f>
        <v>11/29/2023 20:22:30.055</v>
      </c>
      <c r="C518" t="str">
        <f t="shared" si="65"/>
        <v>FFDF53C0</v>
      </c>
      <c r="D518" t="s">
        <v>138</v>
      </c>
      <c r="E518">
        <v>3</v>
      </c>
      <c r="H518">
        <v>160</v>
      </c>
      <c r="I518" t="s">
        <v>124</v>
      </c>
      <c r="J518" t="s">
        <v>139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"20:22:29.773"</f>
        <v>20:22:29.773</v>
      </c>
      <c r="T518" t="str">
        <f>"20:22:28.873"</f>
        <v>20:22:28.873</v>
      </c>
      <c r="U518" t="str">
        <f t="shared" si="63"/>
        <v>AA0632</v>
      </c>
      <c r="V518">
        <v>0</v>
      </c>
      <c r="W518">
        <v>0</v>
      </c>
      <c r="X518">
        <v>2</v>
      </c>
      <c r="Y518">
        <v>0</v>
      </c>
      <c r="AA518">
        <v>0</v>
      </c>
      <c r="AB518">
        <v>9</v>
      </c>
      <c r="AC518">
        <v>3</v>
      </c>
      <c r="AD518">
        <v>0</v>
      </c>
      <c r="AE518">
        <v>10</v>
      </c>
      <c r="AF518" t="s">
        <v>126</v>
      </c>
      <c r="AG518">
        <v>0</v>
      </c>
      <c r="AH518">
        <v>0</v>
      </c>
      <c r="AI518">
        <v>2</v>
      </c>
      <c r="AJ518">
        <v>0</v>
      </c>
      <c r="AK518" t="s">
        <v>390</v>
      </c>
      <c r="AL518">
        <v>31.941590000000001</v>
      </c>
      <c r="AM518" t="s">
        <v>391</v>
      </c>
      <c r="AN518">
        <v>-101.08705</v>
      </c>
      <c r="AQ518" t="s">
        <v>129</v>
      </c>
      <c r="AR518">
        <v>80</v>
      </c>
      <c r="AS518">
        <v>-48</v>
      </c>
      <c r="AT518">
        <v>-64</v>
      </c>
      <c r="BB518" t="str">
        <f t="shared" si="64"/>
        <v>1200</v>
      </c>
      <c r="BC518">
        <v>1</v>
      </c>
      <c r="BD518" t="str">
        <f t="shared" si="59"/>
        <v xml:space="preserve">N745MB  </v>
      </c>
      <c r="BE518">
        <v>1</v>
      </c>
      <c r="BG518">
        <v>0</v>
      </c>
      <c r="BH518">
        <v>0</v>
      </c>
      <c r="BI518">
        <v>0</v>
      </c>
      <c r="BL518" t="s">
        <v>130</v>
      </c>
      <c r="BM518">
        <v>1</v>
      </c>
      <c r="BN518">
        <v>0</v>
      </c>
      <c r="BO518">
        <v>0</v>
      </c>
      <c r="BP518">
        <v>0</v>
      </c>
      <c r="BT518">
        <v>0</v>
      </c>
      <c r="BU518">
        <v>0</v>
      </c>
      <c r="CE518" t="str">
        <f>"20:22:29.778"</f>
        <v>20:22:29.778</v>
      </c>
      <c r="CF518">
        <v>778358903</v>
      </c>
      <c r="CS518">
        <v>0</v>
      </c>
      <c r="CT518">
        <v>2</v>
      </c>
      <c r="CU518">
        <v>0</v>
      </c>
      <c r="CV518">
        <v>2</v>
      </c>
      <c r="CW518">
        <v>0</v>
      </c>
      <c r="CX518">
        <v>2</v>
      </c>
      <c r="CY518">
        <v>7</v>
      </c>
      <c r="CZ518" t="s">
        <v>131</v>
      </c>
      <c r="DA518">
        <v>116</v>
      </c>
      <c r="DB518">
        <v>0</v>
      </c>
      <c r="DC518" t="s">
        <v>132</v>
      </c>
      <c r="DD518" t="s">
        <v>133</v>
      </c>
      <c r="DG518">
        <v>14497108</v>
      </c>
      <c r="DI518">
        <v>0</v>
      </c>
      <c r="DJ518">
        <v>0</v>
      </c>
      <c r="DK518">
        <v>1</v>
      </c>
      <c r="DL518">
        <v>0</v>
      </c>
      <c r="DM518">
        <v>0</v>
      </c>
      <c r="DN518">
        <v>0</v>
      </c>
      <c r="DO518">
        <v>0</v>
      </c>
      <c r="DP518">
        <v>1</v>
      </c>
      <c r="DQ518">
        <v>0</v>
      </c>
      <c r="DR518">
        <v>0</v>
      </c>
      <c r="DS518">
        <v>0</v>
      </c>
    </row>
    <row r="519" spans="1:123" x14ac:dyDescent="0.25">
      <c r="A519" t="str">
        <f>"11/29/2023 20:22:30.164"</f>
        <v>11/29/2023 20:22:30.164</v>
      </c>
      <c r="C519" t="str">
        <f t="shared" si="65"/>
        <v>FFDF53C0</v>
      </c>
      <c r="D519" t="s">
        <v>123</v>
      </c>
      <c r="E519">
        <v>14</v>
      </c>
      <c r="F519">
        <v>1014</v>
      </c>
      <c r="G519" t="s">
        <v>124</v>
      </c>
      <c r="J519" t="s">
        <v>125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"20:22:29.773"</f>
        <v>20:22:29.773</v>
      </c>
      <c r="T519" t="str">
        <f>"20:22:28.873"</f>
        <v>20:22:28.873</v>
      </c>
      <c r="U519" t="str">
        <f t="shared" si="63"/>
        <v>AA0632</v>
      </c>
      <c r="V519">
        <v>0</v>
      </c>
      <c r="W519">
        <v>0</v>
      </c>
      <c r="X519">
        <v>2</v>
      </c>
      <c r="Y519">
        <v>0</v>
      </c>
      <c r="AA519">
        <v>0</v>
      </c>
      <c r="AB519">
        <v>9</v>
      </c>
      <c r="AC519">
        <v>3</v>
      </c>
      <c r="AD519">
        <v>0</v>
      </c>
      <c r="AE519">
        <v>10</v>
      </c>
      <c r="AF519" t="s">
        <v>126</v>
      </c>
      <c r="AG519">
        <v>0</v>
      </c>
      <c r="AH519">
        <v>0</v>
      </c>
      <c r="AI519">
        <v>2</v>
      </c>
      <c r="AJ519">
        <v>0</v>
      </c>
      <c r="AK519" t="s">
        <v>390</v>
      </c>
      <c r="AL519">
        <v>31.941590000000001</v>
      </c>
      <c r="AM519" t="s">
        <v>391</v>
      </c>
      <c r="AN519">
        <v>-101.08705</v>
      </c>
      <c r="AQ519" t="s">
        <v>129</v>
      </c>
      <c r="AR519">
        <v>80</v>
      </c>
      <c r="AS519">
        <v>-48</v>
      </c>
      <c r="AT519">
        <v>-64</v>
      </c>
      <c r="BB519" t="str">
        <f t="shared" si="64"/>
        <v>1200</v>
      </c>
      <c r="BC519">
        <v>1</v>
      </c>
      <c r="BD519" t="str">
        <f t="shared" si="59"/>
        <v xml:space="preserve">N745MB  </v>
      </c>
      <c r="BE519">
        <v>1</v>
      </c>
      <c r="BG519">
        <v>0</v>
      </c>
      <c r="BH519">
        <v>0</v>
      </c>
      <c r="BI519">
        <v>0</v>
      </c>
      <c r="BL519" t="s">
        <v>130</v>
      </c>
      <c r="BM519">
        <v>1</v>
      </c>
      <c r="BN519">
        <v>0</v>
      </c>
      <c r="BO519">
        <v>0</v>
      </c>
      <c r="BP519">
        <v>0</v>
      </c>
      <c r="BT519">
        <v>0</v>
      </c>
      <c r="BU519">
        <v>0</v>
      </c>
      <c r="CE519" t="str">
        <f>"20:22:29.778"</f>
        <v>20:22:29.778</v>
      </c>
      <c r="CF519">
        <v>778358903</v>
      </c>
      <c r="CS519">
        <v>0</v>
      </c>
      <c r="CT519">
        <v>2</v>
      </c>
      <c r="CU519">
        <v>0</v>
      </c>
      <c r="CV519">
        <v>2</v>
      </c>
      <c r="CW519">
        <v>0</v>
      </c>
      <c r="CX519">
        <v>2</v>
      </c>
      <c r="CY519">
        <v>7</v>
      </c>
      <c r="CZ519" t="s">
        <v>131</v>
      </c>
      <c r="DA519">
        <v>116</v>
      </c>
      <c r="DB519">
        <v>0</v>
      </c>
      <c r="DC519" t="s">
        <v>132</v>
      </c>
      <c r="DD519" t="s">
        <v>133</v>
      </c>
      <c r="DG519">
        <v>14497108</v>
      </c>
      <c r="DI519">
        <v>0</v>
      </c>
      <c r="DJ519">
        <v>0</v>
      </c>
      <c r="DK519">
        <v>1</v>
      </c>
      <c r="DL519">
        <v>0</v>
      </c>
      <c r="DM519">
        <v>0</v>
      </c>
      <c r="DN519">
        <v>0</v>
      </c>
      <c r="DO519">
        <v>0</v>
      </c>
      <c r="DP519">
        <v>1</v>
      </c>
      <c r="DQ519">
        <v>0</v>
      </c>
      <c r="DR519">
        <v>0</v>
      </c>
      <c r="DS519">
        <v>0</v>
      </c>
    </row>
    <row r="520" spans="1:123" x14ac:dyDescent="0.25">
      <c r="A520" t="str">
        <f>"11/29/2023 20:22:30.242"</f>
        <v>11/29/2023 20:22:30.242</v>
      </c>
      <c r="C520" t="str">
        <f t="shared" si="65"/>
        <v>FFDF53C0</v>
      </c>
      <c r="D520" t="s">
        <v>135</v>
      </c>
      <c r="E520">
        <v>31</v>
      </c>
      <c r="H520">
        <v>285</v>
      </c>
      <c r="I520" t="s">
        <v>136</v>
      </c>
      <c r="J520" t="s">
        <v>137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"20:22:29.773"</f>
        <v>20:22:29.773</v>
      </c>
      <c r="T520" t="str">
        <f>"20:22:28.873"</f>
        <v>20:22:28.873</v>
      </c>
      <c r="U520" t="str">
        <f t="shared" si="63"/>
        <v>AA0632</v>
      </c>
      <c r="V520">
        <v>0</v>
      </c>
      <c r="W520">
        <v>0</v>
      </c>
      <c r="X520">
        <v>2</v>
      </c>
      <c r="Y520">
        <v>0</v>
      </c>
      <c r="AA520">
        <v>0</v>
      </c>
      <c r="AB520">
        <v>9</v>
      </c>
      <c r="AC520">
        <v>3</v>
      </c>
      <c r="AD520">
        <v>0</v>
      </c>
      <c r="AE520">
        <v>10</v>
      </c>
      <c r="AF520" t="s">
        <v>126</v>
      </c>
      <c r="AG520">
        <v>0</v>
      </c>
      <c r="AH520">
        <v>0</v>
      </c>
      <c r="AI520">
        <v>2</v>
      </c>
      <c r="AJ520">
        <v>0</v>
      </c>
      <c r="AK520" t="s">
        <v>390</v>
      </c>
      <c r="AL520">
        <v>31.941590000000001</v>
      </c>
      <c r="AM520" t="s">
        <v>391</v>
      </c>
      <c r="AN520">
        <v>-101.08705</v>
      </c>
      <c r="AQ520" t="s">
        <v>129</v>
      </c>
      <c r="AR520">
        <v>80</v>
      </c>
      <c r="AS520">
        <v>-48</v>
      </c>
      <c r="AT520">
        <v>-64</v>
      </c>
      <c r="BB520" t="str">
        <f t="shared" si="64"/>
        <v>1200</v>
      </c>
      <c r="BC520">
        <v>1</v>
      </c>
      <c r="BD520" t="str">
        <f t="shared" si="59"/>
        <v xml:space="preserve">N745MB  </v>
      </c>
      <c r="BE520">
        <v>1</v>
      </c>
      <c r="BG520">
        <v>0</v>
      </c>
      <c r="BH520">
        <v>0</v>
      </c>
      <c r="BI520">
        <v>0</v>
      </c>
      <c r="BL520" t="s">
        <v>130</v>
      </c>
      <c r="BM520">
        <v>1</v>
      </c>
      <c r="BN520">
        <v>0</v>
      </c>
      <c r="BO520">
        <v>0</v>
      </c>
      <c r="BP520">
        <v>0</v>
      </c>
      <c r="BT520">
        <v>0</v>
      </c>
      <c r="BU520">
        <v>0</v>
      </c>
      <c r="CE520" t="str">
        <f>"20:22:29.778"</f>
        <v>20:22:29.778</v>
      </c>
      <c r="CF520">
        <v>778358903</v>
      </c>
      <c r="CS520">
        <v>0</v>
      </c>
      <c r="CT520">
        <v>2</v>
      </c>
      <c r="CU520">
        <v>0</v>
      </c>
      <c r="CV520">
        <v>2</v>
      </c>
      <c r="CW520">
        <v>0</v>
      </c>
      <c r="CX520">
        <v>2</v>
      </c>
      <c r="CY520">
        <v>7</v>
      </c>
      <c r="CZ520" t="s">
        <v>131</v>
      </c>
      <c r="DA520">
        <v>116</v>
      </c>
      <c r="DB520">
        <v>0</v>
      </c>
      <c r="DC520" t="s">
        <v>132</v>
      </c>
      <c r="DD520" t="s">
        <v>133</v>
      </c>
      <c r="DG520">
        <v>14497108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1</v>
      </c>
      <c r="DQ520">
        <v>0</v>
      </c>
      <c r="DR520">
        <v>0</v>
      </c>
      <c r="DS520">
        <v>0</v>
      </c>
    </row>
    <row r="521" spans="1:123" x14ac:dyDescent="0.25">
      <c r="A521" t="str">
        <f>"11/29/2023 20:22:31.117"</f>
        <v>11/29/2023 20:22:31.117</v>
      </c>
      <c r="C521" t="str">
        <f t="shared" si="65"/>
        <v>FFDF53C0</v>
      </c>
      <c r="D521" t="s">
        <v>135</v>
      </c>
      <c r="E521">
        <v>31</v>
      </c>
      <c r="H521">
        <v>285</v>
      </c>
      <c r="I521" t="s">
        <v>136</v>
      </c>
      <c r="J521" t="s">
        <v>137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"20:22:30.711"</f>
        <v>20:22:30.711</v>
      </c>
      <c r="T521" t="str">
        <f>"20:22:30.511"</f>
        <v>20:22:30.511</v>
      </c>
      <c r="U521" t="str">
        <f t="shared" si="63"/>
        <v>AA0632</v>
      </c>
      <c r="V521">
        <v>0</v>
      </c>
      <c r="W521">
        <v>0</v>
      </c>
      <c r="X521">
        <v>2</v>
      </c>
      <c r="Y521">
        <v>0</v>
      </c>
      <c r="AA521">
        <v>0</v>
      </c>
      <c r="AB521">
        <v>9</v>
      </c>
      <c r="AC521">
        <v>3</v>
      </c>
      <c r="AD521">
        <v>0</v>
      </c>
      <c r="AE521">
        <v>10</v>
      </c>
      <c r="AF521" t="s">
        <v>126</v>
      </c>
      <c r="AG521">
        <v>0</v>
      </c>
      <c r="AH521">
        <v>0</v>
      </c>
      <c r="AI521">
        <v>2</v>
      </c>
      <c r="AJ521">
        <v>0</v>
      </c>
      <c r="AK521" t="s">
        <v>392</v>
      </c>
      <c r="AL521">
        <v>31.941396999999998</v>
      </c>
      <c r="AM521" t="s">
        <v>393</v>
      </c>
      <c r="AN521">
        <v>-101.086664</v>
      </c>
      <c r="AQ521" t="s">
        <v>129</v>
      </c>
      <c r="AR521">
        <v>82</v>
      </c>
      <c r="AS521">
        <v>-47</v>
      </c>
      <c r="AT521">
        <v>0</v>
      </c>
      <c r="BB521" t="str">
        <f t="shared" si="64"/>
        <v>1200</v>
      </c>
      <c r="BC521">
        <v>1</v>
      </c>
      <c r="BD521" t="str">
        <f t="shared" si="59"/>
        <v xml:space="preserve">N745MB  </v>
      </c>
      <c r="BE521">
        <v>1</v>
      </c>
      <c r="BG521">
        <v>0</v>
      </c>
      <c r="BH521">
        <v>0</v>
      </c>
      <c r="BI521">
        <v>0</v>
      </c>
      <c r="BL521" t="s">
        <v>130</v>
      </c>
      <c r="BM521">
        <v>1</v>
      </c>
      <c r="BN521">
        <v>0</v>
      </c>
      <c r="BO521">
        <v>0</v>
      </c>
      <c r="BP521">
        <v>0</v>
      </c>
      <c r="BT521">
        <v>0</v>
      </c>
      <c r="BU521">
        <v>0</v>
      </c>
      <c r="CE521" t="str">
        <f>"20:22:30.716"</f>
        <v>20:22:30.716</v>
      </c>
      <c r="CF521">
        <v>716299682</v>
      </c>
      <c r="CS521">
        <v>0</v>
      </c>
      <c r="CT521">
        <v>2</v>
      </c>
      <c r="CU521">
        <v>0</v>
      </c>
      <c r="CV521">
        <v>2</v>
      </c>
      <c r="CW521">
        <v>0</v>
      </c>
      <c r="CX521">
        <v>2</v>
      </c>
      <c r="CY521">
        <v>7</v>
      </c>
      <c r="CZ521" t="s">
        <v>131</v>
      </c>
      <c r="DA521">
        <v>116</v>
      </c>
      <c r="DB521">
        <v>3</v>
      </c>
      <c r="DC521" t="s">
        <v>132</v>
      </c>
      <c r="DD521" t="s">
        <v>133</v>
      </c>
      <c r="DG521">
        <v>8300372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1</v>
      </c>
      <c r="DQ521">
        <v>0</v>
      </c>
      <c r="DR521">
        <v>0</v>
      </c>
      <c r="DS521">
        <v>0</v>
      </c>
    </row>
    <row r="522" spans="1:123" x14ac:dyDescent="0.25">
      <c r="A522" t="str">
        <f>"11/29/2023 20:22:31.117"</f>
        <v>11/29/2023 20:22:31.117</v>
      </c>
      <c r="C522" t="str">
        <f t="shared" si="65"/>
        <v>FFDF53C0</v>
      </c>
      <c r="D522" t="s">
        <v>123</v>
      </c>
      <c r="E522">
        <v>1</v>
      </c>
      <c r="F522">
        <v>1001</v>
      </c>
      <c r="G522" t="s">
        <v>134</v>
      </c>
      <c r="J522" t="s">
        <v>125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"20:22:30.711"</f>
        <v>20:22:30.711</v>
      </c>
      <c r="T522" t="str">
        <f>"20:22:30.511"</f>
        <v>20:22:30.511</v>
      </c>
      <c r="U522" t="str">
        <f t="shared" si="63"/>
        <v>AA0632</v>
      </c>
      <c r="V522">
        <v>0</v>
      </c>
      <c r="W522">
        <v>0</v>
      </c>
      <c r="X522">
        <v>2</v>
      </c>
      <c r="Y522">
        <v>0</v>
      </c>
      <c r="AA522">
        <v>0</v>
      </c>
      <c r="AB522">
        <v>9</v>
      </c>
      <c r="AC522">
        <v>3</v>
      </c>
      <c r="AD522">
        <v>0</v>
      </c>
      <c r="AE522">
        <v>10</v>
      </c>
      <c r="AF522" t="s">
        <v>126</v>
      </c>
      <c r="AG522">
        <v>0</v>
      </c>
      <c r="AH522">
        <v>0</v>
      </c>
      <c r="AI522">
        <v>2</v>
      </c>
      <c r="AJ522">
        <v>0</v>
      </c>
      <c r="AK522" t="s">
        <v>392</v>
      </c>
      <c r="AL522">
        <v>31.941396999999998</v>
      </c>
      <c r="AM522" t="s">
        <v>393</v>
      </c>
      <c r="AN522">
        <v>-101.086664</v>
      </c>
      <c r="AQ522" t="s">
        <v>129</v>
      </c>
      <c r="AR522">
        <v>82</v>
      </c>
      <c r="AS522">
        <v>-47</v>
      </c>
      <c r="AT522">
        <v>0</v>
      </c>
      <c r="BB522" t="str">
        <f t="shared" si="64"/>
        <v>1200</v>
      </c>
      <c r="BC522">
        <v>1</v>
      </c>
      <c r="BD522" t="str">
        <f t="shared" si="59"/>
        <v xml:space="preserve">N745MB  </v>
      </c>
      <c r="BE522">
        <v>1</v>
      </c>
      <c r="BG522">
        <v>0</v>
      </c>
      <c r="BH522">
        <v>0</v>
      </c>
      <c r="BI522">
        <v>0</v>
      </c>
      <c r="BL522" t="s">
        <v>130</v>
      </c>
      <c r="BM522">
        <v>1</v>
      </c>
      <c r="BN522">
        <v>0</v>
      </c>
      <c r="BO522">
        <v>0</v>
      </c>
      <c r="BP522">
        <v>0</v>
      </c>
      <c r="BT522">
        <v>0</v>
      </c>
      <c r="BU522">
        <v>0</v>
      </c>
      <c r="CE522" t="str">
        <f>"20:22:30.716"</f>
        <v>20:22:30.716</v>
      </c>
      <c r="CF522">
        <v>716299682</v>
      </c>
      <c r="CS522">
        <v>0</v>
      </c>
      <c r="CT522">
        <v>2</v>
      </c>
      <c r="CU522">
        <v>0</v>
      </c>
      <c r="CV522">
        <v>2</v>
      </c>
      <c r="CW522">
        <v>0</v>
      </c>
      <c r="CX522">
        <v>2</v>
      </c>
      <c r="CY522">
        <v>7</v>
      </c>
      <c r="CZ522" t="s">
        <v>131</v>
      </c>
      <c r="DA522">
        <v>116</v>
      </c>
      <c r="DB522">
        <v>3</v>
      </c>
      <c r="DC522" t="s">
        <v>132</v>
      </c>
      <c r="DD522" t="s">
        <v>133</v>
      </c>
      <c r="DG522">
        <v>8300372</v>
      </c>
      <c r="DI522">
        <v>0</v>
      </c>
      <c r="DJ522">
        <v>0</v>
      </c>
      <c r="DK522">
        <v>1</v>
      </c>
      <c r="DL522">
        <v>0</v>
      </c>
      <c r="DM522">
        <v>0</v>
      </c>
      <c r="DN522">
        <v>0</v>
      </c>
      <c r="DO522">
        <v>0</v>
      </c>
      <c r="DP522">
        <v>1</v>
      </c>
      <c r="DQ522">
        <v>0</v>
      </c>
      <c r="DR522">
        <v>0</v>
      </c>
      <c r="DS522">
        <v>0</v>
      </c>
    </row>
    <row r="523" spans="1:123" x14ac:dyDescent="0.25">
      <c r="A523" t="str">
        <f>"11/29/2023 20:22:31.149"</f>
        <v>11/29/2023 20:22:31.149</v>
      </c>
      <c r="C523" t="str">
        <f t="shared" si="65"/>
        <v>FFDF53C0</v>
      </c>
      <c r="D523" t="s">
        <v>138</v>
      </c>
      <c r="E523">
        <v>3</v>
      </c>
      <c r="H523">
        <v>160</v>
      </c>
      <c r="I523" t="s">
        <v>124</v>
      </c>
      <c r="J523" t="s">
        <v>139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"20:22:30.711"</f>
        <v>20:22:30.711</v>
      </c>
      <c r="T523" t="str">
        <f>"20:22:30.511"</f>
        <v>20:22:30.511</v>
      </c>
      <c r="U523" t="str">
        <f t="shared" si="63"/>
        <v>AA0632</v>
      </c>
      <c r="V523">
        <v>0</v>
      </c>
      <c r="W523">
        <v>0</v>
      </c>
      <c r="X523">
        <v>2</v>
      </c>
      <c r="Y523">
        <v>0</v>
      </c>
      <c r="AA523">
        <v>0</v>
      </c>
      <c r="AB523">
        <v>9</v>
      </c>
      <c r="AC523">
        <v>3</v>
      </c>
      <c r="AD523">
        <v>0</v>
      </c>
      <c r="AE523">
        <v>10</v>
      </c>
      <c r="AF523" t="s">
        <v>126</v>
      </c>
      <c r="AG523">
        <v>0</v>
      </c>
      <c r="AH523">
        <v>0</v>
      </c>
      <c r="AI523">
        <v>2</v>
      </c>
      <c r="AJ523">
        <v>0</v>
      </c>
      <c r="AK523" t="s">
        <v>392</v>
      </c>
      <c r="AL523">
        <v>31.941396999999998</v>
      </c>
      <c r="AM523" t="s">
        <v>393</v>
      </c>
      <c r="AN523">
        <v>-101.086664</v>
      </c>
      <c r="AQ523" t="s">
        <v>129</v>
      </c>
      <c r="AR523">
        <v>82</v>
      </c>
      <c r="AS523">
        <v>-47</v>
      </c>
      <c r="AT523">
        <v>0</v>
      </c>
      <c r="BB523" t="str">
        <f t="shared" si="64"/>
        <v>1200</v>
      </c>
      <c r="BC523">
        <v>1</v>
      </c>
      <c r="BD523" t="str">
        <f t="shared" si="59"/>
        <v xml:space="preserve">N745MB  </v>
      </c>
      <c r="BE523">
        <v>1</v>
      </c>
      <c r="BG523">
        <v>0</v>
      </c>
      <c r="BH523">
        <v>0</v>
      </c>
      <c r="BI523">
        <v>0</v>
      </c>
      <c r="BL523" t="s">
        <v>130</v>
      </c>
      <c r="BM523">
        <v>1</v>
      </c>
      <c r="BN523">
        <v>0</v>
      </c>
      <c r="BO523">
        <v>0</v>
      </c>
      <c r="BP523">
        <v>0</v>
      </c>
      <c r="BT523">
        <v>0</v>
      </c>
      <c r="BU523">
        <v>0</v>
      </c>
      <c r="CE523" t="str">
        <f>"20:22:30.716"</f>
        <v>20:22:30.716</v>
      </c>
      <c r="CF523">
        <v>716299682</v>
      </c>
      <c r="CS523">
        <v>0</v>
      </c>
      <c r="CT523">
        <v>2</v>
      </c>
      <c r="CU523">
        <v>0</v>
      </c>
      <c r="CV523">
        <v>2</v>
      </c>
      <c r="CW523">
        <v>0</v>
      </c>
      <c r="CX523">
        <v>2</v>
      </c>
      <c r="CY523">
        <v>7</v>
      </c>
      <c r="CZ523" t="s">
        <v>131</v>
      </c>
      <c r="DA523">
        <v>116</v>
      </c>
      <c r="DB523">
        <v>3</v>
      </c>
      <c r="DC523" t="s">
        <v>132</v>
      </c>
      <c r="DD523" t="s">
        <v>133</v>
      </c>
      <c r="DG523">
        <v>8300372</v>
      </c>
      <c r="DI523">
        <v>0</v>
      </c>
      <c r="DJ523">
        <v>0</v>
      </c>
      <c r="DK523">
        <v>1</v>
      </c>
      <c r="DL523">
        <v>0</v>
      </c>
      <c r="DM523">
        <v>0</v>
      </c>
      <c r="DN523">
        <v>0</v>
      </c>
      <c r="DO523">
        <v>0</v>
      </c>
      <c r="DP523">
        <v>1</v>
      </c>
      <c r="DQ523">
        <v>0</v>
      </c>
      <c r="DR523">
        <v>0</v>
      </c>
      <c r="DS523">
        <v>0</v>
      </c>
    </row>
    <row r="524" spans="1:123" x14ac:dyDescent="0.25">
      <c r="A524" t="str">
        <f>"11/29/2023 20:22:31.149"</f>
        <v>11/29/2023 20:22:31.149</v>
      </c>
      <c r="C524" t="str">
        <f t="shared" si="65"/>
        <v>FFDF53C0</v>
      </c>
      <c r="D524" t="s">
        <v>123</v>
      </c>
      <c r="E524">
        <v>14</v>
      </c>
      <c r="F524">
        <v>1014</v>
      </c>
      <c r="G524" t="s">
        <v>124</v>
      </c>
      <c r="J524" t="s">
        <v>125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"20:22:30.711"</f>
        <v>20:22:30.711</v>
      </c>
      <c r="T524" t="str">
        <f>"20:22:30.511"</f>
        <v>20:22:30.511</v>
      </c>
      <c r="U524" t="str">
        <f t="shared" si="63"/>
        <v>AA0632</v>
      </c>
      <c r="V524">
        <v>0</v>
      </c>
      <c r="W524">
        <v>0</v>
      </c>
      <c r="X524">
        <v>2</v>
      </c>
      <c r="Y524">
        <v>0</v>
      </c>
      <c r="AA524">
        <v>0</v>
      </c>
      <c r="AB524">
        <v>9</v>
      </c>
      <c r="AC524">
        <v>3</v>
      </c>
      <c r="AD524">
        <v>0</v>
      </c>
      <c r="AE524">
        <v>10</v>
      </c>
      <c r="AF524" t="s">
        <v>126</v>
      </c>
      <c r="AG524">
        <v>0</v>
      </c>
      <c r="AH524">
        <v>0</v>
      </c>
      <c r="AI524">
        <v>2</v>
      </c>
      <c r="AJ524">
        <v>0</v>
      </c>
      <c r="AK524" t="s">
        <v>392</v>
      </c>
      <c r="AL524">
        <v>31.941396999999998</v>
      </c>
      <c r="AM524" t="s">
        <v>393</v>
      </c>
      <c r="AN524">
        <v>-101.086664</v>
      </c>
      <c r="AQ524" t="s">
        <v>129</v>
      </c>
      <c r="AR524">
        <v>82</v>
      </c>
      <c r="AS524">
        <v>-47</v>
      </c>
      <c r="AT524">
        <v>0</v>
      </c>
      <c r="BB524" t="str">
        <f t="shared" si="64"/>
        <v>1200</v>
      </c>
      <c r="BC524">
        <v>1</v>
      </c>
      <c r="BD524" t="str">
        <f t="shared" si="59"/>
        <v xml:space="preserve">N745MB  </v>
      </c>
      <c r="BE524">
        <v>1</v>
      </c>
      <c r="BG524">
        <v>0</v>
      </c>
      <c r="BH524">
        <v>0</v>
      </c>
      <c r="BI524">
        <v>0</v>
      </c>
      <c r="BL524" t="s">
        <v>130</v>
      </c>
      <c r="BM524">
        <v>1</v>
      </c>
      <c r="BN524">
        <v>0</v>
      </c>
      <c r="BO524">
        <v>0</v>
      </c>
      <c r="BP524">
        <v>0</v>
      </c>
      <c r="BT524">
        <v>0</v>
      </c>
      <c r="BU524">
        <v>0</v>
      </c>
      <c r="CE524" t="str">
        <f>"20:22:30.716"</f>
        <v>20:22:30.716</v>
      </c>
      <c r="CF524">
        <v>716299682</v>
      </c>
      <c r="CS524">
        <v>0</v>
      </c>
      <c r="CT524">
        <v>2</v>
      </c>
      <c r="CU524">
        <v>0</v>
      </c>
      <c r="CV524">
        <v>2</v>
      </c>
      <c r="CW524">
        <v>0</v>
      </c>
      <c r="CX524">
        <v>2</v>
      </c>
      <c r="CY524">
        <v>7</v>
      </c>
      <c r="CZ524" t="s">
        <v>131</v>
      </c>
      <c r="DA524">
        <v>116</v>
      </c>
      <c r="DB524">
        <v>3</v>
      </c>
      <c r="DC524" t="s">
        <v>132</v>
      </c>
      <c r="DD524" t="s">
        <v>133</v>
      </c>
      <c r="DG524">
        <v>8300372</v>
      </c>
      <c r="DI524">
        <v>0</v>
      </c>
      <c r="DJ524">
        <v>0</v>
      </c>
      <c r="DK524">
        <v>1</v>
      </c>
      <c r="DL524">
        <v>0</v>
      </c>
      <c r="DM524">
        <v>0</v>
      </c>
      <c r="DN524">
        <v>0</v>
      </c>
      <c r="DO524">
        <v>0</v>
      </c>
      <c r="DP524">
        <v>1</v>
      </c>
      <c r="DQ524">
        <v>0</v>
      </c>
      <c r="DR524">
        <v>0</v>
      </c>
      <c r="DS524">
        <v>0</v>
      </c>
    </row>
    <row r="525" spans="1:123" x14ac:dyDescent="0.25">
      <c r="A525" t="str">
        <f>"11/29/2023 20:22:32.133"</f>
        <v>11/29/2023 20:22:32.133</v>
      </c>
      <c r="C525" t="str">
        <f t="shared" si="65"/>
        <v>FFDF53C0</v>
      </c>
      <c r="D525" t="s">
        <v>123</v>
      </c>
      <c r="E525">
        <v>1</v>
      </c>
      <c r="F525">
        <v>1001</v>
      </c>
      <c r="G525" t="s">
        <v>134</v>
      </c>
      <c r="J525" t="s">
        <v>125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"20:22:31.664"</f>
        <v>20:22:31.664</v>
      </c>
      <c r="T525" t="str">
        <f>"20:22:31.464"</f>
        <v>20:22:31.464</v>
      </c>
      <c r="U525" t="str">
        <f t="shared" si="63"/>
        <v>AA0632</v>
      </c>
      <c r="V525">
        <v>0</v>
      </c>
      <c r="W525">
        <v>0</v>
      </c>
      <c r="X525">
        <v>2</v>
      </c>
      <c r="Y525">
        <v>0</v>
      </c>
      <c r="AA525">
        <v>0</v>
      </c>
      <c r="AB525">
        <v>9</v>
      </c>
      <c r="AC525">
        <v>3</v>
      </c>
      <c r="AD525">
        <v>0</v>
      </c>
      <c r="AE525">
        <v>10</v>
      </c>
      <c r="AF525" t="s">
        <v>126</v>
      </c>
      <c r="AG525">
        <v>0</v>
      </c>
      <c r="AH525">
        <v>0</v>
      </c>
      <c r="AI525">
        <v>2</v>
      </c>
      <c r="AJ525">
        <v>0</v>
      </c>
      <c r="AK525" t="s">
        <v>394</v>
      </c>
      <c r="AL525">
        <v>31.941182999999999</v>
      </c>
      <c r="AM525" t="s">
        <v>395</v>
      </c>
      <c r="AN525">
        <v>-101.086257</v>
      </c>
      <c r="AQ525" t="s">
        <v>129</v>
      </c>
      <c r="AR525">
        <v>83</v>
      </c>
      <c r="AS525">
        <v>-47</v>
      </c>
      <c r="AT525">
        <v>0</v>
      </c>
      <c r="BB525" t="str">
        <f t="shared" si="64"/>
        <v>1200</v>
      </c>
      <c r="BC525">
        <v>1</v>
      </c>
      <c r="BD525" t="str">
        <f t="shared" si="59"/>
        <v xml:space="preserve">N745MB  </v>
      </c>
      <c r="BE525">
        <v>1</v>
      </c>
      <c r="BG525">
        <v>0</v>
      </c>
      <c r="BH525">
        <v>0</v>
      </c>
      <c r="BI525">
        <v>0</v>
      </c>
      <c r="BL525" t="s">
        <v>130</v>
      </c>
      <c r="BM525">
        <v>1</v>
      </c>
      <c r="BN525">
        <v>0</v>
      </c>
      <c r="BO525">
        <v>0</v>
      </c>
      <c r="BP525">
        <v>0</v>
      </c>
      <c r="BT525">
        <v>0</v>
      </c>
      <c r="BU525">
        <v>0</v>
      </c>
      <c r="CE525" t="str">
        <f>"20:22:31.670"</f>
        <v>20:22:31.670</v>
      </c>
      <c r="CF525">
        <v>670232689</v>
      </c>
      <c r="CS525">
        <v>0</v>
      </c>
      <c r="CT525">
        <v>2</v>
      </c>
      <c r="CU525">
        <v>0</v>
      </c>
      <c r="CV525">
        <v>2</v>
      </c>
      <c r="CW525">
        <v>0</v>
      </c>
      <c r="CX525">
        <v>2</v>
      </c>
      <c r="CY525">
        <v>7</v>
      </c>
      <c r="CZ525" t="s">
        <v>131</v>
      </c>
      <c r="DA525">
        <v>116</v>
      </c>
      <c r="DB525">
        <v>0</v>
      </c>
      <c r="DC525" t="s">
        <v>132</v>
      </c>
      <c r="DD525" t="s">
        <v>133</v>
      </c>
      <c r="DG525">
        <v>14498781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1</v>
      </c>
      <c r="DQ525">
        <v>0</v>
      </c>
      <c r="DR525">
        <v>0</v>
      </c>
      <c r="DS525">
        <v>0</v>
      </c>
    </row>
    <row r="526" spans="1:123" x14ac:dyDescent="0.25">
      <c r="A526" t="str">
        <f>"11/29/2023 20:22:32.133"</f>
        <v>11/29/2023 20:22:32.133</v>
      </c>
      <c r="C526" t="str">
        <f t="shared" si="65"/>
        <v>FFDF53C0</v>
      </c>
      <c r="D526" t="s">
        <v>138</v>
      </c>
      <c r="E526">
        <v>3</v>
      </c>
      <c r="H526">
        <v>160</v>
      </c>
      <c r="I526" t="s">
        <v>124</v>
      </c>
      <c r="J526" t="s">
        <v>139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"20:22:31.664"</f>
        <v>20:22:31.664</v>
      </c>
      <c r="T526" t="str">
        <f>"20:22:31.464"</f>
        <v>20:22:31.464</v>
      </c>
      <c r="U526" t="str">
        <f t="shared" si="63"/>
        <v>AA0632</v>
      </c>
      <c r="V526">
        <v>0</v>
      </c>
      <c r="W526">
        <v>0</v>
      </c>
      <c r="X526">
        <v>2</v>
      </c>
      <c r="Y526">
        <v>0</v>
      </c>
      <c r="AA526">
        <v>0</v>
      </c>
      <c r="AB526">
        <v>9</v>
      </c>
      <c r="AC526">
        <v>3</v>
      </c>
      <c r="AD526">
        <v>0</v>
      </c>
      <c r="AE526">
        <v>10</v>
      </c>
      <c r="AF526" t="s">
        <v>126</v>
      </c>
      <c r="AG526">
        <v>0</v>
      </c>
      <c r="AH526">
        <v>0</v>
      </c>
      <c r="AI526">
        <v>2</v>
      </c>
      <c r="AJ526">
        <v>0</v>
      </c>
      <c r="AK526" t="s">
        <v>394</v>
      </c>
      <c r="AL526">
        <v>31.941182999999999</v>
      </c>
      <c r="AM526" t="s">
        <v>395</v>
      </c>
      <c r="AN526">
        <v>-101.086257</v>
      </c>
      <c r="AQ526" t="s">
        <v>129</v>
      </c>
      <c r="AR526">
        <v>83</v>
      </c>
      <c r="AS526">
        <v>-47</v>
      </c>
      <c r="AT526">
        <v>0</v>
      </c>
      <c r="BB526" t="str">
        <f t="shared" si="64"/>
        <v>1200</v>
      </c>
      <c r="BC526">
        <v>1</v>
      </c>
      <c r="BD526" t="str">
        <f t="shared" si="59"/>
        <v xml:space="preserve">N745MB  </v>
      </c>
      <c r="BE526">
        <v>1</v>
      </c>
      <c r="BG526">
        <v>0</v>
      </c>
      <c r="BH526">
        <v>0</v>
      </c>
      <c r="BI526">
        <v>0</v>
      </c>
      <c r="BL526" t="s">
        <v>130</v>
      </c>
      <c r="BM526">
        <v>1</v>
      </c>
      <c r="BN526">
        <v>0</v>
      </c>
      <c r="BO526">
        <v>0</v>
      </c>
      <c r="BP526">
        <v>0</v>
      </c>
      <c r="BT526">
        <v>0</v>
      </c>
      <c r="BU526">
        <v>0</v>
      </c>
      <c r="CE526" t="str">
        <f>"20:22:31.670"</f>
        <v>20:22:31.670</v>
      </c>
      <c r="CF526">
        <v>670232689</v>
      </c>
      <c r="CS526">
        <v>0</v>
      </c>
      <c r="CT526">
        <v>2</v>
      </c>
      <c r="CU526">
        <v>0</v>
      </c>
      <c r="CV526">
        <v>2</v>
      </c>
      <c r="CW526">
        <v>0</v>
      </c>
      <c r="CX526">
        <v>2</v>
      </c>
      <c r="CY526">
        <v>7</v>
      </c>
      <c r="CZ526" t="s">
        <v>131</v>
      </c>
      <c r="DA526">
        <v>116</v>
      </c>
      <c r="DB526">
        <v>0</v>
      </c>
      <c r="DC526" t="s">
        <v>132</v>
      </c>
      <c r="DD526" t="s">
        <v>133</v>
      </c>
      <c r="DG526">
        <v>14498781</v>
      </c>
      <c r="DI526">
        <v>0</v>
      </c>
      <c r="DJ526">
        <v>0</v>
      </c>
      <c r="DK526">
        <v>1</v>
      </c>
      <c r="DL526">
        <v>0</v>
      </c>
      <c r="DM526">
        <v>0</v>
      </c>
      <c r="DN526">
        <v>0</v>
      </c>
      <c r="DO526">
        <v>0</v>
      </c>
      <c r="DP526">
        <v>1</v>
      </c>
      <c r="DQ526">
        <v>0</v>
      </c>
      <c r="DR526">
        <v>0</v>
      </c>
      <c r="DS526">
        <v>0</v>
      </c>
    </row>
    <row r="527" spans="1:123" x14ac:dyDescent="0.25">
      <c r="A527" t="str">
        <f>"11/29/2023 20:22:32.164"</f>
        <v>11/29/2023 20:22:32.164</v>
      </c>
      <c r="C527" t="str">
        <f t="shared" si="65"/>
        <v>FFDF53C0</v>
      </c>
      <c r="D527" t="s">
        <v>123</v>
      </c>
      <c r="E527">
        <v>14</v>
      </c>
      <c r="F527">
        <v>1014</v>
      </c>
      <c r="G527" t="s">
        <v>124</v>
      </c>
      <c r="J527" t="s">
        <v>125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"20:22:31.664"</f>
        <v>20:22:31.664</v>
      </c>
      <c r="T527" t="str">
        <f>"20:22:31.464"</f>
        <v>20:22:31.464</v>
      </c>
      <c r="U527" t="str">
        <f t="shared" si="63"/>
        <v>AA0632</v>
      </c>
      <c r="V527">
        <v>0</v>
      </c>
      <c r="W527">
        <v>0</v>
      </c>
      <c r="X527">
        <v>2</v>
      </c>
      <c r="Y527">
        <v>0</v>
      </c>
      <c r="AA527">
        <v>0</v>
      </c>
      <c r="AB527">
        <v>9</v>
      </c>
      <c r="AC527">
        <v>3</v>
      </c>
      <c r="AD527">
        <v>0</v>
      </c>
      <c r="AE527">
        <v>10</v>
      </c>
      <c r="AF527" t="s">
        <v>126</v>
      </c>
      <c r="AG527">
        <v>0</v>
      </c>
      <c r="AH527">
        <v>0</v>
      </c>
      <c r="AI527">
        <v>2</v>
      </c>
      <c r="AJ527">
        <v>0</v>
      </c>
      <c r="AK527" t="s">
        <v>394</v>
      </c>
      <c r="AL527">
        <v>31.941182999999999</v>
      </c>
      <c r="AM527" t="s">
        <v>395</v>
      </c>
      <c r="AN527">
        <v>-101.086257</v>
      </c>
      <c r="AQ527" t="s">
        <v>129</v>
      </c>
      <c r="AR527">
        <v>83</v>
      </c>
      <c r="AS527">
        <v>-47</v>
      </c>
      <c r="AT527">
        <v>0</v>
      </c>
      <c r="BB527" t="str">
        <f t="shared" si="64"/>
        <v>1200</v>
      </c>
      <c r="BC527">
        <v>1</v>
      </c>
      <c r="BD527" t="str">
        <f t="shared" si="59"/>
        <v xml:space="preserve">N745MB  </v>
      </c>
      <c r="BE527">
        <v>1</v>
      </c>
      <c r="BG527">
        <v>0</v>
      </c>
      <c r="BH527">
        <v>0</v>
      </c>
      <c r="BI527">
        <v>0</v>
      </c>
      <c r="BL527" t="s">
        <v>130</v>
      </c>
      <c r="BM527">
        <v>1</v>
      </c>
      <c r="BN527">
        <v>0</v>
      </c>
      <c r="BO527">
        <v>0</v>
      </c>
      <c r="BP527">
        <v>0</v>
      </c>
      <c r="BT527">
        <v>0</v>
      </c>
      <c r="BU527">
        <v>0</v>
      </c>
      <c r="CE527" t="str">
        <f>"20:22:31.670"</f>
        <v>20:22:31.670</v>
      </c>
      <c r="CF527">
        <v>670232689</v>
      </c>
      <c r="CS527">
        <v>0</v>
      </c>
      <c r="CT527">
        <v>2</v>
      </c>
      <c r="CU527">
        <v>0</v>
      </c>
      <c r="CV527">
        <v>2</v>
      </c>
      <c r="CW527">
        <v>0</v>
      </c>
      <c r="CX527">
        <v>2</v>
      </c>
      <c r="CY527">
        <v>7</v>
      </c>
      <c r="CZ527" t="s">
        <v>131</v>
      </c>
      <c r="DA527">
        <v>116</v>
      </c>
      <c r="DB527">
        <v>0</v>
      </c>
      <c r="DC527" t="s">
        <v>132</v>
      </c>
      <c r="DD527" t="s">
        <v>133</v>
      </c>
      <c r="DG527">
        <v>14498781</v>
      </c>
      <c r="DI527">
        <v>0</v>
      </c>
      <c r="DJ527">
        <v>0</v>
      </c>
      <c r="DK527">
        <v>1</v>
      </c>
      <c r="DL527">
        <v>0</v>
      </c>
      <c r="DM527">
        <v>0</v>
      </c>
      <c r="DN527">
        <v>0</v>
      </c>
      <c r="DO527">
        <v>0</v>
      </c>
      <c r="DP527">
        <v>1</v>
      </c>
      <c r="DQ527">
        <v>0</v>
      </c>
      <c r="DR527">
        <v>0</v>
      </c>
      <c r="DS527">
        <v>0</v>
      </c>
    </row>
    <row r="528" spans="1:123" x14ac:dyDescent="0.25">
      <c r="A528" t="str">
        <f>"11/29/2023 20:22:32.164"</f>
        <v>11/29/2023 20:22:32.164</v>
      </c>
      <c r="C528" t="str">
        <f t="shared" si="65"/>
        <v>FFDF53C0</v>
      </c>
      <c r="D528" t="s">
        <v>135</v>
      </c>
      <c r="E528">
        <v>31</v>
      </c>
      <c r="H528">
        <v>285</v>
      </c>
      <c r="I528" t="s">
        <v>136</v>
      </c>
      <c r="J528" t="s">
        <v>137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"20:22:31.664"</f>
        <v>20:22:31.664</v>
      </c>
      <c r="T528" t="str">
        <f>"20:22:31.464"</f>
        <v>20:22:31.464</v>
      </c>
      <c r="U528" t="str">
        <f t="shared" si="63"/>
        <v>AA0632</v>
      </c>
      <c r="V528">
        <v>0</v>
      </c>
      <c r="W528">
        <v>0</v>
      </c>
      <c r="X528">
        <v>2</v>
      </c>
      <c r="Y528">
        <v>0</v>
      </c>
      <c r="AA528">
        <v>0</v>
      </c>
      <c r="AB528">
        <v>9</v>
      </c>
      <c r="AC528">
        <v>3</v>
      </c>
      <c r="AD528">
        <v>0</v>
      </c>
      <c r="AE528">
        <v>10</v>
      </c>
      <c r="AF528" t="s">
        <v>126</v>
      </c>
      <c r="AG528">
        <v>0</v>
      </c>
      <c r="AH528">
        <v>0</v>
      </c>
      <c r="AI528">
        <v>2</v>
      </c>
      <c r="AJ528">
        <v>0</v>
      </c>
      <c r="AK528" t="s">
        <v>394</v>
      </c>
      <c r="AL528">
        <v>31.941182999999999</v>
      </c>
      <c r="AM528" t="s">
        <v>395</v>
      </c>
      <c r="AN528">
        <v>-101.086257</v>
      </c>
      <c r="AQ528" t="s">
        <v>129</v>
      </c>
      <c r="AR528">
        <v>83</v>
      </c>
      <c r="AS528">
        <v>-47</v>
      </c>
      <c r="AT528">
        <v>0</v>
      </c>
      <c r="BB528" t="str">
        <f t="shared" si="64"/>
        <v>1200</v>
      </c>
      <c r="BC528">
        <v>1</v>
      </c>
      <c r="BD528" t="str">
        <f t="shared" si="59"/>
        <v xml:space="preserve">N745MB  </v>
      </c>
      <c r="BE528">
        <v>1</v>
      </c>
      <c r="BG528">
        <v>0</v>
      </c>
      <c r="BH528">
        <v>0</v>
      </c>
      <c r="BI528">
        <v>0</v>
      </c>
      <c r="BL528" t="s">
        <v>130</v>
      </c>
      <c r="BM528">
        <v>1</v>
      </c>
      <c r="BN528">
        <v>0</v>
      </c>
      <c r="BO528">
        <v>0</v>
      </c>
      <c r="BP528">
        <v>0</v>
      </c>
      <c r="BT528">
        <v>0</v>
      </c>
      <c r="BU528">
        <v>0</v>
      </c>
      <c r="CE528" t="str">
        <f>"20:22:31.670"</f>
        <v>20:22:31.670</v>
      </c>
      <c r="CF528">
        <v>670232689</v>
      </c>
      <c r="CS528">
        <v>0</v>
      </c>
      <c r="CT528">
        <v>2</v>
      </c>
      <c r="CU528">
        <v>0</v>
      </c>
      <c r="CV528">
        <v>2</v>
      </c>
      <c r="CW528">
        <v>0</v>
      </c>
      <c r="CX528">
        <v>2</v>
      </c>
      <c r="CY528">
        <v>7</v>
      </c>
      <c r="CZ528" t="s">
        <v>131</v>
      </c>
      <c r="DA528">
        <v>116</v>
      </c>
      <c r="DB528">
        <v>0</v>
      </c>
      <c r="DC528" t="s">
        <v>132</v>
      </c>
      <c r="DD528" t="s">
        <v>133</v>
      </c>
      <c r="DG528">
        <v>14498781</v>
      </c>
      <c r="DI528">
        <v>0</v>
      </c>
      <c r="DJ528">
        <v>0</v>
      </c>
      <c r="DK528">
        <v>1</v>
      </c>
      <c r="DL528">
        <v>0</v>
      </c>
      <c r="DM528">
        <v>0</v>
      </c>
      <c r="DN528">
        <v>0</v>
      </c>
      <c r="DO528">
        <v>0</v>
      </c>
      <c r="DP528">
        <v>1</v>
      </c>
      <c r="DQ528">
        <v>0</v>
      </c>
      <c r="DR528">
        <v>0</v>
      </c>
      <c r="DS528">
        <v>0</v>
      </c>
    </row>
    <row r="529" spans="1:123" x14ac:dyDescent="0.25">
      <c r="A529" t="str">
        <f>"11/29/2023 20:22:33.070"</f>
        <v>11/29/2023 20:22:33.070</v>
      </c>
      <c r="C529" t="str">
        <f t="shared" si="65"/>
        <v>FFDF53C0</v>
      </c>
      <c r="D529" t="s">
        <v>135</v>
      </c>
      <c r="E529">
        <v>31</v>
      </c>
      <c r="H529">
        <v>285</v>
      </c>
      <c r="I529" t="s">
        <v>136</v>
      </c>
      <c r="J529" t="s">
        <v>137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"20:22:32.734"</f>
        <v>20:22:32.734</v>
      </c>
      <c r="T529" t="str">
        <f>"20:22:32.034"</f>
        <v>20:22:32.034</v>
      </c>
      <c r="U529" t="str">
        <f t="shared" si="63"/>
        <v>AA0632</v>
      </c>
      <c r="V529">
        <v>0</v>
      </c>
      <c r="W529">
        <v>0</v>
      </c>
      <c r="X529">
        <v>2</v>
      </c>
      <c r="Y529">
        <v>0</v>
      </c>
      <c r="AA529">
        <v>0</v>
      </c>
      <c r="AB529">
        <v>9</v>
      </c>
      <c r="AC529">
        <v>3</v>
      </c>
      <c r="AD529">
        <v>0</v>
      </c>
      <c r="AE529">
        <v>10</v>
      </c>
      <c r="AF529" t="s">
        <v>126</v>
      </c>
      <c r="AG529">
        <v>0</v>
      </c>
      <c r="AH529">
        <v>0</v>
      </c>
      <c r="AI529">
        <v>2</v>
      </c>
      <c r="AJ529">
        <v>0</v>
      </c>
      <c r="AK529" t="s">
        <v>396</v>
      </c>
      <c r="AL529">
        <v>31.940988999999998</v>
      </c>
      <c r="AM529" t="s">
        <v>397</v>
      </c>
      <c r="AN529">
        <v>-101.085763</v>
      </c>
      <c r="AQ529" t="s">
        <v>129</v>
      </c>
      <c r="AR529">
        <v>83</v>
      </c>
      <c r="AS529">
        <v>-47</v>
      </c>
      <c r="AT529">
        <v>-64</v>
      </c>
      <c r="BB529" t="str">
        <f t="shared" si="64"/>
        <v>1200</v>
      </c>
      <c r="BC529">
        <v>1</v>
      </c>
      <c r="BD529" t="str">
        <f t="shared" si="59"/>
        <v xml:space="preserve">N745MB  </v>
      </c>
      <c r="BE529">
        <v>1</v>
      </c>
      <c r="BG529">
        <v>0</v>
      </c>
      <c r="BH529">
        <v>0</v>
      </c>
      <c r="BI529">
        <v>0</v>
      </c>
      <c r="BL529" t="s">
        <v>130</v>
      </c>
      <c r="BM529">
        <v>1</v>
      </c>
      <c r="BN529">
        <v>0</v>
      </c>
      <c r="BO529">
        <v>0</v>
      </c>
      <c r="BP529">
        <v>0</v>
      </c>
      <c r="BT529">
        <v>0</v>
      </c>
      <c r="BU529">
        <v>0</v>
      </c>
      <c r="CE529" t="str">
        <f>"20:22:32.742"</f>
        <v>20:22:32.742</v>
      </c>
      <c r="CF529">
        <v>742159979</v>
      </c>
      <c r="CS529">
        <v>0</v>
      </c>
      <c r="CT529">
        <v>2</v>
      </c>
      <c r="CU529">
        <v>0</v>
      </c>
      <c r="CV529">
        <v>2</v>
      </c>
      <c r="CW529">
        <v>0</v>
      </c>
      <c r="CX529">
        <v>2</v>
      </c>
      <c r="CY529">
        <v>7</v>
      </c>
      <c r="CZ529" t="s">
        <v>131</v>
      </c>
      <c r="DA529">
        <v>116</v>
      </c>
      <c r="DB529">
        <v>0</v>
      </c>
      <c r="DC529" t="s">
        <v>132</v>
      </c>
      <c r="DD529" t="s">
        <v>133</v>
      </c>
      <c r="DG529">
        <v>14499655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1</v>
      </c>
      <c r="DQ529">
        <v>0</v>
      </c>
      <c r="DR529">
        <v>0</v>
      </c>
      <c r="DS529">
        <v>0</v>
      </c>
    </row>
    <row r="530" spans="1:123" x14ac:dyDescent="0.25">
      <c r="A530" t="str">
        <f>"11/29/2023 20:22:33.086"</f>
        <v>11/29/2023 20:22:33.086</v>
      </c>
      <c r="C530" t="str">
        <f t="shared" si="65"/>
        <v>FFDF53C0</v>
      </c>
      <c r="D530" t="s">
        <v>123</v>
      </c>
      <c r="E530">
        <v>1</v>
      </c>
      <c r="F530">
        <v>1001</v>
      </c>
      <c r="G530" t="s">
        <v>134</v>
      </c>
      <c r="J530" t="s">
        <v>125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"20:22:32.734"</f>
        <v>20:22:32.734</v>
      </c>
      <c r="T530" t="str">
        <f>"20:22:32.034"</f>
        <v>20:22:32.034</v>
      </c>
      <c r="U530" t="str">
        <f t="shared" si="63"/>
        <v>AA0632</v>
      </c>
      <c r="V530">
        <v>0</v>
      </c>
      <c r="W530">
        <v>0</v>
      </c>
      <c r="X530">
        <v>2</v>
      </c>
      <c r="Y530">
        <v>0</v>
      </c>
      <c r="AA530">
        <v>0</v>
      </c>
      <c r="AB530">
        <v>9</v>
      </c>
      <c r="AC530">
        <v>3</v>
      </c>
      <c r="AD530">
        <v>0</v>
      </c>
      <c r="AE530">
        <v>10</v>
      </c>
      <c r="AF530" t="s">
        <v>126</v>
      </c>
      <c r="AG530">
        <v>0</v>
      </c>
      <c r="AH530">
        <v>0</v>
      </c>
      <c r="AI530">
        <v>2</v>
      </c>
      <c r="AJ530">
        <v>0</v>
      </c>
      <c r="AK530" t="s">
        <v>396</v>
      </c>
      <c r="AL530">
        <v>31.940988999999998</v>
      </c>
      <c r="AM530" t="s">
        <v>397</v>
      </c>
      <c r="AN530">
        <v>-101.085763</v>
      </c>
      <c r="AQ530" t="s">
        <v>129</v>
      </c>
      <c r="AR530">
        <v>83</v>
      </c>
      <c r="AS530">
        <v>-47</v>
      </c>
      <c r="AT530">
        <v>-64</v>
      </c>
      <c r="BB530" t="str">
        <f t="shared" si="64"/>
        <v>1200</v>
      </c>
      <c r="BC530">
        <v>1</v>
      </c>
      <c r="BD530" t="str">
        <f t="shared" ref="BD530:BD593" si="66">"N745MB  "</f>
        <v xml:space="preserve">N745MB  </v>
      </c>
      <c r="BE530">
        <v>1</v>
      </c>
      <c r="BG530">
        <v>0</v>
      </c>
      <c r="BH530">
        <v>0</v>
      </c>
      <c r="BI530">
        <v>0</v>
      </c>
      <c r="BL530" t="s">
        <v>130</v>
      </c>
      <c r="BM530">
        <v>1</v>
      </c>
      <c r="BN530">
        <v>0</v>
      </c>
      <c r="BO530">
        <v>0</v>
      </c>
      <c r="BP530">
        <v>0</v>
      </c>
      <c r="BT530">
        <v>0</v>
      </c>
      <c r="BU530">
        <v>0</v>
      </c>
      <c r="CE530" t="str">
        <f>"20:22:32.742"</f>
        <v>20:22:32.742</v>
      </c>
      <c r="CF530">
        <v>742159979</v>
      </c>
      <c r="CS530">
        <v>0</v>
      </c>
      <c r="CT530">
        <v>2</v>
      </c>
      <c r="CU530">
        <v>0</v>
      </c>
      <c r="CV530">
        <v>2</v>
      </c>
      <c r="CW530">
        <v>0</v>
      </c>
      <c r="CX530">
        <v>2</v>
      </c>
      <c r="CY530">
        <v>7</v>
      </c>
      <c r="CZ530" t="s">
        <v>131</v>
      </c>
      <c r="DA530">
        <v>116</v>
      </c>
      <c r="DB530">
        <v>0</v>
      </c>
      <c r="DC530" t="s">
        <v>132</v>
      </c>
      <c r="DD530" t="s">
        <v>133</v>
      </c>
      <c r="DG530">
        <v>14499655</v>
      </c>
      <c r="DI530">
        <v>0</v>
      </c>
      <c r="DJ530">
        <v>0</v>
      </c>
      <c r="DK530">
        <v>1</v>
      </c>
      <c r="DL530">
        <v>0</v>
      </c>
      <c r="DM530">
        <v>0</v>
      </c>
      <c r="DN530">
        <v>0</v>
      </c>
      <c r="DO530">
        <v>0</v>
      </c>
      <c r="DP530">
        <v>1</v>
      </c>
      <c r="DQ530">
        <v>0</v>
      </c>
      <c r="DR530">
        <v>0</v>
      </c>
      <c r="DS530">
        <v>0</v>
      </c>
    </row>
    <row r="531" spans="1:123" x14ac:dyDescent="0.25">
      <c r="A531" t="str">
        <f>"11/29/2023 20:22:33.086"</f>
        <v>11/29/2023 20:22:33.086</v>
      </c>
      <c r="C531" t="str">
        <f t="shared" si="65"/>
        <v>FFDF53C0</v>
      </c>
      <c r="D531" t="s">
        <v>138</v>
      </c>
      <c r="E531">
        <v>3</v>
      </c>
      <c r="H531">
        <v>160</v>
      </c>
      <c r="I531" t="s">
        <v>124</v>
      </c>
      <c r="J531" t="s">
        <v>139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"20:22:32.734"</f>
        <v>20:22:32.734</v>
      </c>
      <c r="T531" t="str">
        <f>"20:22:32.034"</f>
        <v>20:22:32.034</v>
      </c>
      <c r="U531" t="str">
        <f t="shared" si="63"/>
        <v>AA0632</v>
      </c>
      <c r="V531">
        <v>0</v>
      </c>
      <c r="W531">
        <v>0</v>
      </c>
      <c r="X531">
        <v>2</v>
      </c>
      <c r="Y531">
        <v>0</v>
      </c>
      <c r="AA531">
        <v>0</v>
      </c>
      <c r="AB531">
        <v>9</v>
      </c>
      <c r="AC531">
        <v>3</v>
      </c>
      <c r="AD531">
        <v>0</v>
      </c>
      <c r="AE531">
        <v>10</v>
      </c>
      <c r="AF531" t="s">
        <v>126</v>
      </c>
      <c r="AG531">
        <v>0</v>
      </c>
      <c r="AH531">
        <v>0</v>
      </c>
      <c r="AI531">
        <v>2</v>
      </c>
      <c r="AJ531">
        <v>0</v>
      </c>
      <c r="AK531" t="s">
        <v>396</v>
      </c>
      <c r="AL531">
        <v>31.940988999999998</v>
      </c>
      <c r="AM531" t="s">
        <v>397</v>
      </c>
      <c r="AN531">
        <v>-101.085763</v>
      </c>
      <c r="AQ531" t="s">
        <v>129</v>
      </c>
      <c r="AR531">
        <v>83</v>
      </c>
      <c r="AS531">
        <v>-47</v>
      </c>
      <c r="AT531">
        <v>-64</v>
      </c>
      <c r="BB531" t="str">
        <f t="shared" si="64"/>
        <v>1200</v>
      </c>
      <c r="BC531">
        <v>1</v>
      </c>
      <c r="BD531" t="str">
        <f t="shared" si="66"/>
        <v xml:space="preserve">N745MB  </v>
      </c>
      <c r="BE531">
        <v>1</v>
      </c>
      <c r="BG531">
        <v>0</v>
      </c>
      <c r="BH531">
        <v>0</v>
      </c>
      <c r="BI531">
        <v>0</v>
      </c>
      <c r="BL531" t="s">
        <v>130</v>
      </c>
      <c r="BM531">
        <v>1</v>
      </c>
      <c r="BN531">
        <v>0</v>
      </c>
      <c r="BO531">
        <v>0</v>
      </c>
      <c r="BP531">
        <v>0</v>
      </c>
      <c r="BT531">
        <v>0</v>
      </c>
      <c r="BU531">
        <v>0</v>
      </c>
      <c r="CE531" t="str">
        <f>"20:22:32.742"</f>
        <v>20:22:32.742</v>
      </c>
      <c r="CF531">
        <v>742159979</v>
      </c>
      <c r="CS531">
        <v>0</v>
      </c>
      <c r="CT531">
        <v>2</v>
      </c>
      <c r="CU531">
        <v>0</v>
      </c>
      <c r="CV531">
        <v>2</v>
      </c>
      <c r="CW531">
        <v>0</v>
      </c>
      <c r="CX531">
        <v>2</v>
      </c>
      <c r="CY531">
        <v>7</v>
      </c>
      <c r="CZ531" t="s">
        <v>131</v>
      </c>
      <c r="DA531">
        <v>116</v>
      </c>
      <c r="DB531">
        <v>0</v>
      </c>
      <c r="DC531" t="s">
        <v>132</v>
      </c>
      <c r="DD531" t="s">
        <v>133</v>
      </c>
      <c r="DG531">
        <v>14499655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1</v>
      </c>
      <c r="DQ531">
        <v>0</v>
      </c>
      <c r="DR531">
        <v>0</v>
      </c>
      <c r="DS531">
        <v>0</v>
      </c>
    </row>
    <row r="532" spans="1:123" x14ac:dyDescent="0.25">
      <c r="A532" t="str">
        <f>"11/29/2023 20:22:33.086"</f>
        <v>11/29/2023 20:22:33.086</v>
      </c>
      <c r="C532" t="str">
        <f t="shared" si="65"/>
        <v>FFDF53C0</v>
      </c>
      <c r="D532" t="s">
        <v>123</v>
      </c>
      <c r="E532">
        <v>14</v>
      </c>
      <c r="F532">
        <v>1014</v>
      </c>
      <c r="G532" t="s">
        <v>124</v>
      </c>
      <c r="J532" t="s">
        <v>125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"20:22:32.734"</f>
        <v>20:22:32.734</v>
      </c>
      <c r="T532" t="str">
        <f>"20:22:32.034"</f>
        <v>20:22:32.034</v>
      </c>
      <c r="U532" t="str">
        <f t="shared" si="63"/>
        <v>AA0632</v>
      </c>
      <c r="V532">
        <v>0</v>
      </c>
      <c r="W532">
        <v>0</v>
      </c>
      <c r="X532">
        <v>2</v>
      </c>
      <c r="Y532">
        <v>0</v>
      </c>
      <c r="AA532">
        <v>0</v>
      </c>
      <c r="AB532">
        <v>9</v>
      </c>
      <c r="AC532">
        <v>3</v>
      </c>
      <c r="AD532">
        <v>0</v>
      </c>
      <c r="AE532">
        <v>10</v>
      </c>
      <c r="AF532" t="s">
        <v>126</v>
      </c>
      <c r="AG532">
        <v>0</v>
      </c>
      <c r="AH532">
        <v>0</v>
      </c>
      <c r="AI532">
        <v>2</v>
      </c>
      <c r="AJ532">
        <v>0</v>
      </c>
      <c r="AK532" t="s">
        <v>396</v>
      </c>
      <c r="AL532">
        <v>31.940988999999998</v>
      </c>
      <c r="AM532" t="s">
        <v>397</v>
      </c>
      <c r="AN532">
        <v>-101.085763</v>
      </c>
      <c r="AQ532" t="s">
        <v>129</v>
      </c>
      <c r="AR532">
        <v>83</v>
      </c>
      <c r="AS532">
        <v>-47</v>
      </c>
      <c r="AT532">
        <v>-64</v>
      </c>
      <c r="BB532" t="str">
        <f t="shared" si="64"/>
        <v>1200</v>
      </c>
      <c r="BC532">
        <v>1</v>
      </c>
      <c r="BD532" t="str">
        <f t="shared" si="66"/>
        <v xml:space="preserve">N745MB  </v>
      </c>
      <c r="BE532">
        <v>1</v>
      </c>
      <c r="BG532">
        <v>0</v>
      </c>
      <c r="BH532">
        <v>0</v>
      </c>
      <c r="BI532">
        <v>0</v>
      </c>
      <c r="BL532" t="s">
        <v>130</v>
      </c>
      <c r="BM532">
        <v>1</v>
      </c>
      <c r="BN532">
        <v>0</v>
      </c>
      <c r="BO532">
        <v>0</v>
      </c>
      <c r="BP532">
        <v>0</v>
      </c>
      <c r="BT532">
        <v>0</v>
      </c>
      <c r="BU532">
        <v>0</v>
      </c>
      <c r="CE532" t="str">
        <f>"20:22:32.742"</f>
        <v>20:22:32.742</v>
      </c>
      <c r="CF532">
        <v>742159979</v>
      </c>
      <c r="CS532">
        <v>0</v>
      </c>
      <c r="CT532">
        <v>2</v>
      </c>
      <c r="CU532">
        <v>0</v>
      </c>
      <c r="CV532">
        <v>2</v>
      </c>
      <c r="CW532">
        <v>0</v>
      </c>
      <c r="CX532">
        <v>2</v>
      </c>
      <c r="CY532">
        <v>7</v>
      </c>
      <c r="CZ532" t="s">
        <v>131</v>
      </c>
      <c r="DA532">
        <v>116</v>
      </c>
      <c r="DB532">
        <v>0</v>
      </c>
      <c r="DC532" t="s">
        <v>132</v>
      </c>
      <c r="DD532" t="s">
        <v>133</v>
      </c>
      <c r="DG532">
        <v>14499655</v>
      </c>
      <c r="DI532">
        <v>0</v>
      </c>
      <c r="DJ532">
        <v>0</v>
      </c>
      <c r="DK532">
        <v>1</v>
      </c>
      <c r="DL532">
        <v>0</v>
      </c>
      <c r="DM532">
        <v>0</v>
      </c>
      <c r="DN532">
        <v>0</v>
      </c>
      <c r="DO532">
        <v>0</v>
      </c>
      <c r="DP532">
        <v>1</v>
      </c>
      <c r="DQ532">
        <v>0</v>
      </c>
      <c r="DR532">
        <v>0</v>
      </c>
      <c r="DS532">
        <v>0</v>
      </c>
    </row>
    <row r="533" spans="1:123" x14ac:dyDescent="0.25">
      <c r="A533" t="str">
        <f>"11/29/2023 20:22:35.430"</f>
        <v>11/29/2023 20:22:35.430</v>
      </c>
      <c r="C533" t="str">
        <f t="shared" si="65"/>
        <v>FFDF53C0</v>
      </c>
      <c r="D533" t="s">
        <v>138</v>
      </c>
      <c r="E533">
        <v>3</v>
      </c>
      <c r="H533">
        <v>160</v>
      </c>
      <c r="I533" t="s">
        <v>124</v>
      </c>
      <c r="J533" t="s">
        <v>139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"20:22:35.125"</f>
        <v>20:22:35.125</v>
      </c>
      <c r="T533" t="str">
        <f>"20:22:35.025"</f>
        <v>20:22:35.025</v>
      </c>
      <c r="U533" t="str">
        <f t="shared" si="63"/>
        <v>AA0632</v>
      </c>
      <c r="V533">
        <v>0</v>
      </c>
      <c r="W533">
        <v>0</v>
      </c>
      <c r="X533">
        <v>2</v>
      </c>
      <c r="Y533">
        <v>0</v>
      </c>
      <c r="AA533">
        <v>0</v>
      </c>
      <c r="AB533">
        <v>9</v>
      </c>
      <c r="AC533">
        <v>3</v>
      </c>
      <c r="AD533">
        <v>0</v>
      </c>
      <c r="AE533">
        <v>10</v>
      </c>
      <c r="AF533" t="s">
        <v>126</v>
      </c>
      <c r="AG533">
        <v>0</v>
      </c>
      <c r="AH533">
        <v>0</v>
      </c>
      <c r="AI533">
        <v>2</v>
      </c>
      <c r="AJ533">
        <v>0</v>
      </c>
      <c r="AK533" t="s">
        <v>398</v>
      </c>
      <c r="AL533">
        <v>31.940432000000001</v>
      </c>
      <c r="AM533" t="s">
        <v>399</v>
      </c>
      <c r="AN533">
        <v>-101.084647</v>
      </c>
      <c r="AQ533" t="s">
        <v>129</v>
      </c>
      <c r="AR533">
        <v>83</v>
      </c>
      <c r="AS533">
        <v>-48</v>
      </c>
      <c r="AT533">
        <v>0</v>
      </c>
      <c r="BB533" t="str">
        <f t="shared" si="64"/>
        <v>1200</v>
      </c>
      <c r="BC533">
        <v>1</v>
      </c>
      <c r="BD533" t="str">
        <f t="shared" si="66"/>
        <v xml:space="preserve">N745MB  </v>
      </c>
      <c r="BE533">
        <v>1</v>
      </c>
      <c r="BG533">
        <v>0</v>
      </c>
      <c r="BH533">
        <v>0</v>
      </c>
      <c r="BI533">
        <v>0</v>
      </c>
      <c r="BL533" t="s">
        <v>130</v>
      </c>
      <c r="BM533">
        <v>1</v>
      </c>
      <c r="BN533">
        <v>0</v>
      </c>
      <c r="BO533">
        <v>0</v>
      </c>
      <c r="BP533">
        <v>0</v>
      </c>
      <c r="BT533">
        <v>0</v>
      </c>
      <c r="BU533">
        <v>0</v>
      </c>
      <c r="CE533" t="str">
        <f>"20:22:35.126"</f>
        <v>20:22:35.126</v>
      </c>
      <c r="CF533">
        <v>126002953</v>
      </c>
      <c r="CS533">
        <v>0</v>
      </c>
      <c r="CT533">
        <v>2</v>
      </c>
      <c r="CU533">
        <v>0</v>
      </c>
      <c r="CV533">
        <v>2</v>
      </c>
      <c r="CW533">
        <v>0</v>
      </c>
      <c r="CX533">
        <v>2</v>
      </c>
      <c r="CY533">
        <v>7</v>
      </c>
      <c r="CZ533" t="s">
        <v>131</v>
      </c>
      <c r="DA533">
        <v>116</v>
      </c>
      <c r="DB533">
        <v>3</v>
      </c>
      <c r="DC533" t="s">
        <v>132</v>
      </c>
      <c r="DD533" t="s">
        <v>133</v>
      </c>
      <c r="DG533">
        <v>8302847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1</v>
      </c>
      <c r="DQ533">
        <v>0</v>
      </c>
      <c r="DR533">
        <v>0</v>
      </c>
      <c r="DS533">
        <v>0</v>
      </c>
    </row>
    <row r="534" spans="1:123" x14ac:dyDescent="0.25">
      <c r="A534" t="str">
        <f>"11/29/2023 20:22:35.430"</f>
        <v>11/29/2023 20:22:35.430</v>
      </c>
      <c r="C534" t="str">
        <f t="shared" si="65"/>
        <v>FFDF53C0</v>
      </c>
      <c r="D534" t="s">
        <v>123</v>
      </c>
      <c r="E534">
        <v>14</v>
      </c>
      <c r="F534">
        <v>1014</v>
      </c>
      <c r="G534" t="s">
        <v>124</v>
      </c>
      <c r="J534" t="s">
        <v>125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"20:22:35.125"</f>
        <v>20:22:35.125</v>
      </c>
      <c r="T534" t="str">
        <f>"20:22:35.025"</f>
        <v>20:22:35.025</v>
      </c>
      <c r="U534" t="str">
        <f t="shared" si="63"/>
        <v>AA0632</v>
      </c>
      <c r="V534">
        <v>0</v>
      </c>
      <c r="W534">
        <v>0</v>
      </c>
      <c r="X534">
        <v>2</v>
      </c>
      <c r="Y534">
        <v>0</v>
      </c>
      <c r="AA534">
        <v>0</v>
      </c>
      <c r="AB534">
        <v>9</v>
      </c>
      <c r="AC534">
        <v>3</v>
      </c>
      <c r="AD534">
        <v>0</v>
      </c>
      <c r="AE534">
        <v>10</v>
      </c>
      <c r="AF534" t="s">
        <v>126</v>
      </c>
      <c r="AG534">
        <v>0</v>
      </c>
      <c r="AH534">
        <v>0</v>
      </c>
      <c r="AI534">
        <v>2</v>
      </c>
      <c r="AJ534">
        <v>0</v>
      </c>
      <c r="AK534" t="s">
        <v>398</v>
      </c>
      <c r="AL534">
        <v>31.940432000000001</v>
      </c>
      <c r="AM534" t="s">
        <v>399</v>
      </c>
      <c r="AN534">
        <v>-101.084647</v>
      </c>
      <c r="AQ534" t="s">
        <v>129</v>
      </c>
      <c r="AR534">
        <v>83</v>
      </c>
      <c r="AS534">
        <v>-48</v>
      </c>
      <c r="AT534">
        <v>0</v>
      </c>
      <c r="BB534" t="str">
        <f t="shared" si="64"/>
        <v>1200</v>
      </c>
      <c r="BC534">
        <v>1</v>
      </c>
      <c r="BD534" t="str">
        <f t="shared" si="66"/>
        <v xml:space="preserve">N745MB  </v>
      </c>
      <c r="BE534">
        <v>1</v>
      </c>
      <c r="BG534">
        <v>0</v>
      </c>
      <c r="BH534">
        <v>0</v>
      </c>
      <c r="BI534">
        <v>0</v>
      </c>
      <c r="BL534" t="s">
        <v>130</v>
      </c>
      <c r="BM534">
        <v>1</v>
      </c>
      <c r="BN534">
        <v>0</v>
      </c>
      <c r="BO534">
        <v>0</v>
      </c>
      <c r="BP534">
        <v>0</v>
      </c>
      <c r="BT534">
        <v>0</v>
      </c>
      <c r="BU534">
        <v>0</v>
      </c>
      <c r="CE534" t="str">
        <f>"20:22:35.126"</f>
        <v>20:22:35.126</v>
      </c>
      <c r="CF534">
        <v>126002953</v>
      </c>
      <c r="CS534">
        <v>0</v>
      </c>
      <c r="CT534">
        <v>2</v>
      </c>
      <c r="CU534">
        <v>0</v>
      </c>
      <c r="CV534">
        <v>2</v>
      </c>
      <c r="CW534">
        <v>0</v>
      </c>
      <c r="CX534">
        <v>2</v>
      </c>
      <c r="CY534">
        <v>7</v>
      </c>
      <c r="CZ534" t="s">
        <v>131</v>
      </c>
      <c r="DA534">
        <v>116</v>
      </c>
      <c r="DB534">
        <v>3</v>
      </c>
      <c r="DC534" t="s">
        <v>132</v>
      </c>
      <c r="DD534" t="s">
        <v>133</v>
      </c>
      <c r="DG534">
        <v>8302847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1</v>
      </c>
      <c r="DQ534">
        <v>0</v>
      </c>
      <c r="DR534">
        <v>0</v>
      </c>
      <c r="DS534">
        <v>0</v>
      </c>
    </row>
    <row r="535" spans="1:123" x14ac:dyDescent="0.25">
      <c r="A535" t="str">
        <f>"11/29/2023 20:22:35.430"</f>
        <v>11/29/2023 20:22:35.430</v>
      </c>
      <c r="C535" t="str">
        <f t="shared" si="65"/>
        <v>FFDF53C0</v>
      </c>
      <c r="D535" t="s">
        <v>135</v>
      </c>
      <c r="E535">
        <v>31</v>
      </c>
      <c r="H535">
        <v>285</v>
      </c>
      <c r="I535" t="s">
        <v>136</v>
      </c>
      <c r="J535" t="s">
        <v>137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"20:22:35.125"</f>
        <v>20:22:35.125</v>
      </c>
      <c r="T535" t="str">
        <f>"20:22:35.025"</f>
        <v>20:22:35.025</v>
      </c>
      <c r="U535" t="str">
        <f t="shared" si="63"/>
        <v>AA0632</v>
      </c>
      <c r="V535">
        <v>0</v>
      </c>
      <c r="W535">
        <v>0</v>
      </c>
      <c r="X535">
        <v>2</v>
      </c>
      <c r="Y535">
        <v>0</v>
      </c>
      <c r="AA535">
        <v>0</v>
      </c>
      <c r="AB535">
        <v>9</v>
      </c>
      <c r="AC535">
        <v>3</v>
      </c>
      <c r="AD535">
        <v>0</v>
      </c>
      <c r="AE535">
        <v>10</v>
      </c>
      <c r="AF535" t="s">
        <v>126</v>
      </c>
      <c r="AG535">
        <v>0</v>
      </c>
      <c r="AH535">
        <v>0</v>
      </c>
      <c r="AI535">
        <v>2</v>
      </c>
      <c r="AJ535">
        <v>0</v>
      </c>
      <c r="AK535" t="s">
        <v>398</v>
      </c>
      <c r="AL535">
        <v>31.940432000000001</v>
      </c>
      <c r="AM535" t="s">
        <v>399</v>
      </c>
      <c r="AN535">
        <v>-101.084647</v>
      </c>
      <c r="AQ535" t="s">
        <v>129</v>
      </c>
      <c r="AR535">
        <v>83</v>
      </c>
      <c r="AS535">
        <v>-48</v>
      </c>
      <c r="AT535">
        <v>0</v>
      </c>
      <c r="BB535" t="str">
        <f t="shared" si="64"/>
        <v>1200</v>
      </c>
      <c r="BC535">
        <v>1</v>
      </c>
      <c r="BD535" t="str">
        <f t="shared" si="66"/>
        <v xml:space="preserve">N745MB  </v>
      </c>
      <c r="BE535">
        <v>1</v>
      </c>
      <c r="BG535">
        <v>0</v>
      </c>
      <c r="BH535">
        <v>0</v>
      </c>
      <c r="BI535">
        <v>0</v>
      </c>
      <c r="BL535" t="s">
        <v>130</v>
      </c>
      <c r="BM535">
        <v>1</v>
      </c>
      <c r="BN535">
        <v>0</v>
      </c>
      <c r="BO535">
        <v>0</v>
      </c>
      <c r="BP535">
        <v>0</v>
      </c>
      <c r="BT535">
        <v>0</v>
      </c>
      <c r="BU535">
        <v>0</v>
      </c>
      <c r="CE535" t="str">
        <f>"20:22:35.126"</f>
        <v>20:22:35.126</v>
      </c>
      <c r="CF535">
        <v>126002953</v>
      </c>
      <c r="CS535">
        <v>0</v>
      </c>
      <c r="CT535">
        <v>2</v>
      </c>
      <c r="CU535">
        <v>0</v>
      </c>
      <c r="CV535">
        <v>2</v>
      </c>
      <c r="CW535">
        <v>0</v>
      </c>
      <c r="CX535">
        <v>2</v>
      </c>
      <c r="CY535">
        <v>7</v>
      </c>
      <c r="CZ535" t="s">
        <v>131</v>
      </c>
      <c r="DA535">
        <v>116</v>
      </c>
      <c r="DB535">
        <v>3</v>
      </c>
      <c r="DC535" t="s">
        <v>132</v>
      </c>
      <c r="DD535" t="s">
        <v>133</v>
      </c>
      <c r="DG535">
        <v>8302847</v>
      </c>
      <c r="DI535">
        <v>0</v>
      </c>
      <c r="DJ535">
        <v>0</v>
      </c>
      <c r="DK535">
        <v>1</v>
      </c>
      <c r="DL535">
        <v>0</v>
      </c>
      <c r="DM535">
        <v>0</v>
      </c>
      <c r="DN535">
        <v>0</v>
      </c>
      <c r="DO535">
        <v>0</v>
      </c>
      <c r="DP535">
        <v>1</v>
      </c>
      <c r="DQ535">
        <v>0</v>
      </c>
      <c r="DR535">
        <v>0</v>
      </c>
      <c r="DS535">
        <v>0</v>
      </c>
    </row>
    <row r="536" spans="1:123" x14ac:dyDescent="0.25">
      <c r="A536" t="str">
        <f>"11/29/2023 20:22:35.430"</f>
        <v>11/29/2023 20:22:35.430</v>
      </c>
      <c r="C536" t="str">
        <f t="shared" si="65"/>
        <v>FFDF53C0</v>
      </c>
      <c r="D536" t="s">
        <v>123</v>
      </c>
      <c r="E536">
        <v>1</v>
      </c>
      <c r="F536">
        <v>1001</v>
      </c>
      <c r="G536" t="s">
        <v>134</v>
      </c>
      <c r="J536" t="s">
        <v>125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"20:22:35.125"</f>
        <v>20:22:35.125</v>
      </c>
      <c r="T536" t="str">
        <f>"20:22:35.025"</f>
        <v>20:22:35.025</v>
      </c>
      <c r="U536" t="str">
        <f t="shared" si="63"/>
        <v>AA0632</v>
      </c>
      <c r="V536">
        <v>0</v>
      </c>
      <c r="W536">
        <v>0</v>
      </c>
      <c r="X536">
        <v>2</v>
      </c>
      <c r="Y536">
        <v>0</v>
      </c>
      <c r="AA536">
        <v>0</v>
      </c>
      <c r="AB536">
        <v>9</v>
      </c>
      <c r="AC536">
        <v>3</v>
      </c>
      <c r="AD536">
        <v>0</v>
      </c>
      <c r="AE536">
        <v>10</v>
      </c>
      <c r="AF536" t="s">
        <v>126</v>
      </c>
      <c r="AG536">
        <v>0</v>
      </c>
      <c r="AH536">
        <v>0</v>
      </c>
      <c r="AI536">
        <v>2</v>
      </c>
      <c r="AJ536">
        <v>0</v>
      </c>
      <c r="AK536" t="s">
        <v>398</v>
      </c>
      <c r="AL536">
        <v>31.940432000000001</v>
      </c>
      <c r="AM536" t="s">
        <v>399</v>
      </c>
      <c r="AN536">
        <v>-101.084647</v>
      </c>
      <c r="AQ536" t="s">
        <v>129</v>
      </c>
      <c r="AR536">
        <v>83</v>
      </c>
      <c r="AS536">
        <v>-48</v>
      </c>
      <c r="AT536">
        <v>0</v>
      </c>
      <c r="BB536" t="str">
        <f t="shared" si="64"/>
        <v>1200</v>
      </c>
      <c r="BC536">
        <v>1</v>
      </c>
      <c r="BD536" t="str">
        <f t="shared" si="66"/>
        <v xml:space="preserve">N745MB  </v>
      </c>
      <c r="BE536">
        <v>1</v>
      </c>
      <c r="BG536">
        <v>0</v>
      </c>
      <c r="BH536">
        <v>0</v>
      </c>
      <c r="BI536">
        <v>0</v>
      </c>
      <c r="BL536" t="s">
        <v>130</v>
      </c>
      <c r="BM536">
        <v>1</v>
      </c>
      <c r="BN536">
        <v>0</v>
      </c>
      <c r="BO536">
        <v>0</v>
      </c>
      <c r="BP536">
        <v>0</v>
      </c>
      <c r="BT536">
        <v>0</v>
      </c>
      <c r="BU536">
        <v>0</v>
      </c>
      <c r="CE536" t="str">
        <f>"20:22:35.126"</f>
        <v>20:22:35.126</v>
      </c>
      <c r="CF536">
        <v>126002953</v>
      </c>
      <c r="CS536">
        <v>0</v>
      </c>
      <c r="CT536">
        <v>2</v>
      </c>
      <c r="CU536">
        <v>0</v>
      </c>
      <c r="CV536">
        <v>2</v>
      </c>
      <c r="CW536">
        <v>0</v>
      </c>
      <c r="CX536">
        <v>2</v>
      </c>
      <c r="CY536">
        <v>7</v>
      </c>
      <c r="CZ536" t="s">
        <v>131</v>
      </c>
      <c r="DA536">
        <v>116</v>
      </c>
      <c r="DB536">
        <v>3</v>
      </c>
      <c r="DC536" t="s">
        <v>132</v>
      </c>
      <c r="DD536" t="s">
        <v>133</v>
      </c>
      <c r="DG536">
        <v>8302847</v>
      </c>
      <c r="DI536">
        <v>0</v>
      </c>
      <c r="DJ536">
        <v>0</v>
      </c>
      <c r="DK536">
        <v>1</v>
      </c>
      <c r="DL536">
        <v>0</v>
      </c>
      <c r="DM536">
        <v>0</v>
      </c>
      <c r="DN536">
        <v>0</v>
      </c>
      <c r="DO536">
        <v>0</v>
      </c>
      <c r="DP536">
        <v>1</v>
      </c>
      <c r="DQ536">
        <v>0</v>
      </c>
      <c r="DR536">
        <v>0</v>
      </c>
      <c r="DS536">
        <v>0</v>
      </c>
    </row>
    <row r="537" spans="1:123" x14ac:dyDescent="0.25">
      <c r="A537" t="str">
        <f>"11/29/2023 20:22:36.727"</f>
        <v>11/29/2023 20:22:36.727</v>
      </c>
      <c r="C537" t="str">
        <f t="shared" si="65"/>
        <v>FFDF53C0</v>
      </c>
      <c r="D537" t="s">
        <v>138</v>
      </c>
      <c r="E537">
        <v>3</v>
      </c>
      <c r="H537">
        <v>160</v>
      </c>
      <c r="I537" t="s">
        <v>124</v>
      </c>
      <c r="J537" t="s">
        <v>139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"20:22:36.242"</f>
        <v>20:22:36.242</v>
      </c>
      <c r="T537" t="str">
        <f>"20:22:36.042"</f>
        <v>20:22:36.042</v>
      </c>
      <c r="U537" t="str">
        <f t="shared" si="63"/>
        <v>AA0632</v>
      </c>
      <c r="V537">
        <v>0</v>
      </c>
      <c r="W537">
        <v>0</v>
      </c>
      <c r="X537">
        <v>2</v>
      </c>
      <c r="Y537">
        <v>0</v>
      </c>
      <c r="AA537">
        <v>0</v>
      </c>
      <c r="AB537">
        <v>9</v>
      </c>
      <c r="AC537">
        <v>3</v>
      </c>
      <c r="AD537">
        <v>0</v>
      </c>
      <c r="AE537">
        <v>10</v>
      </c>
      <c r="AF537" t="s">
        <v>126</v>
      </c>
      <c r="AG537">
        <v>0</v>
      </c>
      <c r="AH537">
        <v>0</v>
      </c>
      <c r="AI537">
        <v>2</v>
      </c>
      <c r="AJ537">
        <v>0</v>
      </c>
      <c r="AK537" t="s">
        <v>400</v>
      </c>
      <c r="AL537">
        <v>31.940196</v>
      </c>
      <c r="AM537" t="s">
        <v>401</v>
      </c>
      <c r="AN537">
        <v>-101.084154</v>
      </c>
      <c r="AQ537" t="s">
        <v>129</v>
      </c>
      <c r="AR537">
        <v>83</v>
      </c>
      <c r="AS537">
        <v>-48</v>
      </c>
      <c r="AT537">
        <v>0</v>
      </c>
      <c r="BB537" t="str">
        <f t="shared" si="64"/>
        <v>1200</v>
      </c>
      <c r="BC537">
        <v>1</v>
      </c>
      <c r="BD537" t="str">
        <f t="shared" si="66"/>
        <v xml:space="preserve">N745MB  </v>
      </c>
      <c r="BE537">
        <v>1</v>
      </c>
      <c r="BG537">
        <v>0</v>
      </c>
      <c r="BH537">
        <v>0</v>
      </c>
      <c r="BI537">
        <v>0</v>
      </c>
      <c r="BL537" t="s">
        <v>130</v>
      </c>
      <c r="BM537">
        <v>1</v>
      </c>
      <c r="BN537">
        <v>0</v>
      </c>
      <c r="BO537">
        <v>0</v>
      </c>
      <c r="BP537">
        <v>0</v>
      </c>
      <c r="BT537">
        <v>0</v>
      </c>
      <c r="BU537">
        <v>0</v>
      </c>
      <c r="CE537" t="str">
        <f>"20:22:36.248"</f>
        <v>20:22:36.248</v>
      </c>
      <c r="CF537">
        <v>247922144</v>
      </c>
      <c r="CS537">
        <v>0</v>
      </c>
      <c r="CT537">
        <v>2</v>
      </c>
      <c r="CU537">
        <v>0</v>
      </c>
      <c r="CV537">
        <v>2</v>
      </c>
      <c r="CW537">
        <v>0</v>
      </c>
      <c r="CX537">
        <v>2</v>
      </c>
      <c r="CY537">
        <v>7</v>
      </c>
      <c r="CZ537" t="s">
        <v>131</v>
      </c>
      <c r="DA537">
        <v>116</v>
      </c>
      <c r="DB537">
        <v>3</v>
      </c>
      <c r="DC537" t="s">
        <v>132</v>
      </c>
      <c r="DD537" t="s">
        <v>133</v>
      </c>
      <c r="DG537">
        <v>8303514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1</v>
      </c>
      <c r="DQ537">
        <v>0</v>
      </c>
      <c r="DR537">
        <v>0</v>
      </c>
      <c r="DS537">
        <v>0</v>
      </c>
    </row>
    <row r="538" spans="1:123" x14ac:dyDescent="0.25">
      <c r="A538" t="str">
        <f>"11/29/2023 20:22:36.727"</f>
        <v>11/29/2023 20:22:36.727</v>
      </c>
      <c r="C538" t="str">
        <f t="shared" si="65"/>
        <v>FFDF53C0</v>
      </c>
      <c r="D538" t="s">
        <v>123</v>
      </c>
      <c r="E538">
        <v>14</v>
      </c>
      <c r="F538">
        <v>1014</v>
      </c>
      <c r="G538" t="s">
        <v>124</v>
      </c>
      <c r="J538" t="s">
        <v>125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"20:22:36.242"</f>
        <v>20:22:36.242</v>
      </c>
      <c r="T538" t="str">
        <f>"20:22:36.042"</f>
        <v>20:22:36.042</v>
      </c>
      <c r="U538" t="str">
        <f t="shared" si="63"/>
        <v>AA0632</v>
      </c>
      <c r="V538">
        <v>0</v>
      </c>
      <c r="W538">
        <v>0</v>
      </c>
      <c r="X538">
        <v>2</v>
      </c>
      <c r="Y538">
        <v>0</v>
      </c>
      <c r="AA538">
        <v>0</v>
      </c>
      <c r="AB538">
        <v>9</v>
      </c>
      <c r="AC538">
        <v>3</v>
      </c>
      <c r="AD538">
        <v>0</v>
      </c>
      <c r="AE538">
        <v>10</v>
      </c>
      <c r="AF538" t="s">
        <v>126</v>
      </c>
      <c r="AG538">
        <v>0</v>
      </c>
      <c r="AH538">
        <v>0</v>
      </c>
      <c r="AI538">
        <v>2</v>
      </c>
      <c r="AJ538">
        <v>0</v>
      </c>
      <c r="AK538" t="s">
        <v>400</v>
      </c>
      <c r="AL538">
        <v>31.940196</v>
      </c>
      <c r="AM538" t="s">
        <v>401</v>
      </c>
      <c r="AN538">
        <v>-101.084154</v>
      </c>
      <c r="AQ538" t="s">
        <v>129</v>
      </c>
      <c r="AR538">
        <v>83</v>
      </c>
      <c r="AS538">
        <v>-48</v>
      </c>
      <c r="AT538">
        <v>0</v>
      </c>
      <c r="BB538" t="str">
        <f t="shared" si="64"/>
        <v>1200</v>
      </c>
      <c r="BC538">
        <v>1</v>
      </c>
      <c r="BD538" t="str">
        <f t="shared" si="66"/>
        <v xml:space="preserve">N745MB  </v>
      </c>
      <c r="BE538">
        <v>1</v>
      </c>
      <c r="BG538">
        <v>0</v>
      </c>
      <c r="BH538">
        <v>0</v>
      </c>
      <c r="BI538">
        <v>0</v>
      </c>
      <c r="BL538" t="s">
        <v>130</v>
      </c>
      <c r="BM538">
        <v>1</v>
      </c>
      <c r="BN538">
        <v>0</v>
      </c>
      <c r="BO538">
        <v>0</v>
      </c>
      <c r="BP538">
        <v>0</v>
      </c>
      <c r="BT538">
        <v>0</v>
      </c>
      <c r="BU538">
        <v>0</v>
      </c>
      <c r="CE538" t="str">
        <f>"20:22:36.248"</f>
        <v>20:22:36.248</v>
      </c>
      <c r="CF538">
        <v>247922144</v>
      </c>
      <c r="CS538">
        <v>0</v>
      </c>
      <c r="CT538">
        <v>2</v>
      </c>
      <c r="CU538">
        <v>0</v>
      </c>
      <c r="CV538">
        <v>2</v>
      </c>
      <c r="CW538">
        <v>0</v>
      </c>
      <c r="CX538">
        <v>2</v>
      </c>
      <c r="CY538">
        <v>7</v>
      </c>
      <c r="CZ538" t="s">
        <v>131</v>
      </c>
      <c r="DA538">
        <v>116</v>
      </c>
      <c r="DB538">
        <v>3</v>
      </c>
      <c r="DC538" t="s">
        <v>132</v>
      </c>
      <c r="DD538" t="s">
        <v>133</v>
      </c>
      <c r="DG538">
        <v>8303514</v>
      </c>
      <c r="DI538">
        <v>0</v>
      </c>
      <c r="DJ538">
        <v>0</v>
      </c>
      <c r="DK538">
        <v>1</v>
      </c>
      <c r="DL538">
        <v>0</v>
      </c>
      <c r="DM538">
        <v>0</v>
      </c>
      <c r="DN538">
        <v>0</v>
      </c>
      <c r="DO538">
        <v>0</v>
      </c>
      <c r="DP538">
        <v>1</v>
      </c>
      <c r="DQ538">
        <v>0</v>
      </c>
      <c r="DR538">
        <v>0</v>
      </c>
      <c r="DS538">
        <v>0</v>
      </c>
    </row>
    <row r="539" spans="1:123" x14ac:dyDescent="0.25">
      <c r="A539" t="str">
        <f>"11/29/2023 20:22:36.742"</f>
        <v>11/29/2023 20:22:36.742</v>
      </c>
      <c r="C539" t="str">
        <f t="shared" si="65"/>
        <v>FFDF53C0</v>
      </c>
      <c r="D539" t="s">
        <v>135</v>
      </c>
      <c r="E539">
        <v>31</v>
      </c>
      <c r="H539">
        <v>285</v>
      </c>
      <c r="I539" t="s">
        <v>136</v>
      </c>
      <c r="J539" t="s">
        <v>137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"20:22:36.242"</f>
        <v>20:22:36.242</v>
      </c>
      <c r="T539" t="str">
        <f>"20:22:36.042"</f>
        <v>20:22:36.042</v>
      </c>
      <c r="U539" t="str">
        <f t="shared" si="63"/>
        <v>AA0632</v>
      </c>
      <c r="V539">
        <v>0</v>
      </c>
      <c r="W539">
        <v>0</v>
      </c>
      <c r="X539">
        <v>2</v>
      </c>
      <c r="Y539">
        <v>0</v>
      </c>
      <c r="AA539">
        <v>0</v>
      </c>
      <c r="AB539">
        <v>9</v>
      </c>
      <c r="AC539">
        <v>3</v>
      </c>
      <c r="AD539">
        <v>0</v>
      </c>
      <c r="AE539">
        <v>10</v>
      </c>
      <c r="AF539" t="s">
        <v>126</v>
      </c>
      <c r="AG539">
        <v>0</v>
      </c>
      <c r="AH539">
        <v>0</v>
      </c>
      <c r="AI539">
        <v>2</v>
      </c>
      <c r="AJ539">
        <v>0</v>
      </c>
      <c r="AK539" t="s">
        <v>400</v>
      </c>
      <c r="AL539">
        <v>31.940196</v>
      </c>
      <c r="AM539" t="s">
        <v>401</v>
      </c>
      <c r="AN539">
        <v>-101.084154</v>
      </c>
      <c r="AQ539" t="s">
        <v>129</v>
      </c>
      <c r="AR539">
        <v>83</v>
      </c>
      <c r="AS539">
        <v>-48</v>
      </c>
      <c r="AT539">
        <v>0</v>
      </c>
      <c r="BB539" t="str">
        <f t="shared" si="64"/>
        <v>1200</v>
      </c>
      <c r="BC539">
        <v>1</v>
      </c>
      <c r="BD539" t="str">
        <f t="shared" si="66"/>
        <v xml:space="preserve">N745MB  </v>
      </c>
      <c r="BE539">
        <v>1</v>
      </c>
      <c r="BG539">
        <v>0</v>
      </c>
      <c r="BH539">
        <v>0</v>
      </c>
      <c r="BI539">
        <v>0</v>
      </c>
      <c r="BL539" t="s">
        <v>130</v>
      </c>
      <c r="BM539">
        <v>1</v>
      </c>
      <c r="BN539">
        <v>0</v>
      </c>
      <c r="BO539">
        <v>0</v>
      </c>
      <c r="BP539">
        <v>0</v>
      </c>
      <c r="BT539">
        <v>0</v>
      </c>
      <c r="BU539">
        <v>0</v>
      </c>
      <c r="CE539" t="str">
        <f>"20:22:36.248"</f>
        <v>20:22:36.248</v>
      </c>
      <c r="CF539">
        <v>247922144</v>
      </c>
      <c r="CS539">
        <v>0</v>
      </c>
      <c r="CT539">
        <v>2</v>
      </c>
      <c r="CU539">
        <v>0</v>
      </c>
      <c r="CV539">
        <v>2</v>
      </c>
      <c r="CW539">
        <v>0</v>
      </c>
      <c r="CX539">
        <v>2</v>
      </c>
      <c r="CY539">
        <v>7</v>
      </c>
      <c r="CZ539" t="s">
        <v>131</v>
      </c>
      <c r="DA539">
        <v>116</v>
      </c>
      <c r="DB539">
        <v>3</v>
      </c>
      <c r="DC539" t="s">
        <v>132</v>
      </c>
      <c r="DD539" t="s">
        <v>133</v>
      </c>
      <c r="DG539">
        <v>8303514</v>
      </c>
      <c r="DI539">
        <v>0</v>
      </c>
      <c r="DJ539">
        <v>0</v>
      </c>
      <c r="DK539">
        <v>1</v>
      </c>
      <c r="DL539">
        <v>0</v>
      </c>
      <c r="DM539">
        <v>0</v>
      </c>
      <c r="DN539">
        <v>0</v>
      </c>
      <c r="DO539">
        <v>0</v>
      </c>
      <c r="DP539">
        <v>1</v>
      </c>
      <c r="DQ539">
        <v>0</v>
      </c>
      <c r="DR539">
        <v>0</v>
      </c>
      <c r="DS539">
        <v>0</v>
      </c>
    </row>
    <row r="540" spans="1:123" x14ac:dyDescent="0.25">
      <c r="A540" t="str">
        <f>"11/29/2023 20:22:39.555"</f>
        <v>11/29/2023 20:22:39.555</v>
      </c>
      <c r="C540" t="str">
        <f t="shared" si="65"/>
        <v>FFDF53C0</v>
      </c>
      <c r="D540" t="s">
        <v>135</v>
      </c>
      <c r="E540">
        <v>31</v>
      </c>
      <c r="H540">
        <v>285</v>
      </c>
      <c r="I540" t="s">
        <v>136</v>
      </c>
      <c r="J540" t="s">
        <v>137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 t="shared" ref="S540:T543" si="67">"20:22:39.102"</f>
        <v>20:22:39.102</v>
      </c>
      <c r="T540" t="str">
        <f t="shared" si="67"/>
        <v>20:22:39.102</v>
      </c>
      <c r="U540" t="str">
        <f t="shared" si="63"/>
        <v>AA0632</v>
      </c>
      <c r="V540">
        <v>0</v>
      </c>
      <c r="W540">
        <v>0</v>
      </c>
      <c r="X540">
        <v>2</v>
      </c>
      <c r="Y540">
        <v>0</v>
      </c>
      <c r="AA540">
        <v>0</v>
      </c>
      <c r="AB540">
        <v>9</v>
      </c>
      <c r="AC540">
        <v>3</v>
      </c>
      <c r="AD540">
        <v>0</v>
      </c>
      <c r="AE540">
        <v>10</v>
      </c>
      <c r="AF540" t="s">
        <v>126</v>
      </c>
      <c r="AG540">
        <v>0</v>
      </c>
      <c r="AH540">
        <v>0</v>
      </c>
      <c r="AI540">
        <v>2</v>
      </c>
      <c r="AJ540">
        <v>0</v>
      </c>
      <c r="AK540" t="s">
        <v>402</v>
      </c>
      <c r="AL540">
        <v>31.939530000000001</v>
      </c>
      <c r="AM540" t="s">
        <v>403</v>
      </c>
      <c r="AN540">
        <v>-101.08284500000001</v>
      </c>
      <c r="AQ540" t="s">
        <v>129</v>
      </c>
      <c r="AR540">
        <v>82</v>
      </c>
      <c r="AS540">
        <v>-49</v>
      </c>
      <c r="AT540">
        <v>192</v>
      </c>
      <c r="BB540" t="str">
        <f t="shared" si="64"/>
        <v>1200</v>
      </c>
      <c r="BC540">
        <v>1</v>
      </c>
      <c r="BD540" t="str">
        <f t="shared" si="66"/>
        <v xml:space="preserve">N745MB  </v>
      </c>
      <c r="BE540">
        <v>1</v>
      </c>
      <c r="BG540">
        <v>0</v>
      </c>
      <c r="BH540">
        <v>0</v>
      </c>
      <c r="BI540">
        <v>0</v>
      </c>
      <c r="BL540" t="s">
        <v>130</v>
      </c>
      <c r="BM540">
        <v>1</v>
      </c>
      <c r="BN540">
        <v>0</v>
      </c>
      <c r="BO540">
        <v>0</v>
      </c>
      <c r="BP540">
        <v>0</v>
      </c>
      <c r="BT540">
        <v>0</v>
      </c>
      <c r="BU540">
        <v>0</v>
      </c>
      <c r="CE540" t="str">
        <f>"20:22:39.104"</f>
        <v>20:22:39.104</v>
      </c>
      <c r="CF540">
        <v>103728800</v>
      </c>
      <c r="CS540">
        <v>0</v>
      </c>
      <c r="CT540">
        <v>2</v>
      </c>
      <c r="CU540">
        <v>0</v>
      </c>
      <c r="CV540">
        <v>2</v>
      </c>
      <c r="CW540">
        <v>0</v>
      </c>
      <c r="CX540">
        <v>2</v>
      </c>
      <c r="CY540">
        <v>7</v>
      </c>
      <c r="CZ540" t="s">
        <v>131</v>
      </c>
      <c r="DA540">
        <v>116</v>
      </c>
      <c r="DB540">
        <v>0</v>
      </c>
      <c r="DC540" t="s">
        <v>132</v>
      </c>
      <c r="DD540" t="s">
        <v>133</v>
      </c>
      <c r="DG540">
        <v>14505343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1</v>
      </c>
      <c r="DQ540">
        <v>0</v>
      </c>
      <c r="DR540">
        <v>0</v>
      </c>
      <c r="DS540">
        <v>0</v>
      </c>
    </row>
    <row r="541" spans="1:123" x14ac:dyDescent="0.25">
      <c r="A541" t="str">
        <f>"11/29/2023 20:22:39.555"</f>
        <v>11/29/2023 20:22:39.555</v>
      </c>
      <c r="C541" t="str">
        <f t="shared" si="65"/>
        <v>FFDF53C0</v>
      </c>
      <c r="D541" t="s">
        <v>123</v>
      </c>
      <c r="E541">
        <v>1</v>
      </c>
      <c r="F541">
        <v>1001</v>
      </c>
      <c r="G541" t="s">
        <v>134</v>
      </c>
      <c r="J541" t="s">
        <v>125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 t="shared" si="67"/>
        <v>20:22:39.102</v>
      </c>
      <c r="T541" t="str">
        <f t="shared" si="67"/>
        <v>20:22:39.102</v>
      </c>
      <c r="U541" t="str">
        <f t="shared" si="63"/>
        <v>AA0632</v>
      </c>
      <c r="V541">
        <v>0</v>
      </c>
      <c r="W541">
        <v>0</v>
      </c>
      <c r="X541">
        <v>2</v>
      </c>
      <c r="Y541">
        <v>0</v>
      </c>
      <c r="AA541">
        <v>0</v>
      </c>
      <c r="AB541">
        <v>9</v>
      </c>
      <c r="AC541">
        <v>3</v>
      </c>
      <c r="AD541">
        <v>0</v>
      </c>
      <c r="AE541">
        <v>10</v>
      </c>
      <c r="AF541" t="s">
        <v>126</v>
      </c>
      <c r="AG541">
        <v>0</v>
      </c>
      <c r="AH541">
        <v>0</v>
      </c>
      <c r="AI541">
        <v>2</v>
      </c>
      <c r="AJ541">
        <v>0</v>
      </c>
      <c r="AK541" t="s">
        <v>402</v>
      </c>
      <c r="AL541">
        <v>31.939530000000001</v>
      </c>
      <c r="AM541" t="s">
        <v>403</v>
      </c>
      <c r="AN541">
        <v>-101.08284500000001</v>
      </c>
      <c r="AQ541" t="s">
        <v>129</v>
      </c>
      <c r="AR541">
        <v>82</v>
      </c>
      <c r="AS541">
        <v>-49</v>
      </c>
      <c r="AT541">
        <v>192</v>
      </c>
      <c r="BB541" t="str">
        <f t="shared" si="64"/>
        <v>1200</v>
      </c>
      <c r="BC541">
        <v>1</v>
      </c>
      <c r="BD541" t="str">
        <f t="shared" si="66"/>
        <v xml:space="preserve">N745MB  </v>
      </c>
      <c r="BE541">
        <v>1</v>
      </c>
      <c r="BG541">
        <v>0</v>
      </c>
      <c r="BH541">
        <v>0</v>
      </c>
      <c r="BI541">
        <v>0</v>
      </c>
      <c r="BL541" t="s">
        <v>130</v>
      </c>
      <c r="BM541">
        <v>1</v>
      </c>
      <c r="BN541">
        <v>0</v>
      </c>
      <c r="BO541">
        <v>0</v>
      </c>
      <c r="BP541">
        <v>0</v>
      </c>
      <c r="BT541">
        <v>0</v>
      </c>
      <c r="BU541">
        <v>0</v>
      </c>
      <c r="CE541" t="str">
        <f>"20:22:39.104"</f>
        <v>20:22:39.104</v>
      </c>
      <c r="CF541">
        <v>103728800</v>
      </c>
      <c r="CS541">
        <v>0</v>
      </c>
      <c r="CT541">
        <v>2</v>
      </c>
      <c r="CU541">
        <v>0</v>
      </c>
      <c r="CV541">
        <v>2</v>
      </c>
      <c r="CW541">
        <v>0</v>
      </c>
      <c r="CX541">
        <v>2</v>
      </c>
      <c r="CY541">
        <v>7</v>
      </c>
      <c r="CZ541" t="s">
        <v>131</v>
      </c>
      <c r="DA541">
        <v>116</v>
      </c>
      <c r="DB541">
        <v>0</v>
      </c>
      <c r="DC541" t="s">
        <v>132</v>
      </c>
      <c r="DD541" t="s">
        <v>133</v>
      </c>
      <c r="DG541">
        <v>14505343</v>
      </c>
      <c r="DI541">
        <v>0</v>
      </c>
      <c r="DJ541">
        <v>0</v>
      </c>
      <c r="DK541">
        <v>1</v>
      </c>
      <c r="DL541">
        <v>0</v>
      </c>
      <c r="DM541">
        <v>0</v>
      </c>
      <c r="DN541">
        <v>0</v>
      </c>
      <c r="DO541">
        <v>0</v>
      </c>
      <c r="DP541">
        <v>1</v>
      </c>
      <c r="DQ541">
        <v>0</v>
      </c>
      <c r="DR541">
        <v>0</v>
      </c>
      <c r="DS541">
        <v>0</v>
      </c>
    </row>
    <row r="542" spans="1:123" x14ac:dyDescent="0.25">
      <c r="A542" t="str">
        <f>"11/29/2023 20:22:39.555"</f>
        <v>11/29/2023 20:22:39.555</v>
      </c>
      <c r="C542" t="str">
        <f t="shared" si="65"/>
        <v>FFDF53C0</v>
      </c>
      <c r="D542" t="s">
        <v>138</v>
      </c>
      <c r="E542">
        <v>3</v>
      </c>
      <c r="H542">
        <v>160</v>
      </c>
      <c r="I542" t="s">
        <v>124</v>
      </c>
      <c r="J542" t="s">
        <v>139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 t="shared" si="67"/>
        <v>20:22:39.102</v>
      </c>
      <c r="T542" t="str">
        <f t="shared" si="67"/>
        <v>20:22:39.102</v>
      </c>
      <c r="U542" t="str">
        <f t="shared" si="63"/>
        <v>AA0632</v>
      </c>
      <c r="V542">
        <v>0</v>
      </c>
      <c r="W542">
        <v>0</v>
      </c>
      <c r="X542">
        <v>2</v>
      </c>
      <c r="Y542">
        <v>0</v>
      </c>
      <c r="AA542">
        <v>0</v>
      </c>
      <c r="AB542">
        <v>9</v>
      </c>
      <c r="AC542">
        <v>3</v>
      </c>
      <c r="AD542">
        <v>0</v>
      </c>
      <c r="AE542">
        <v>10</v>
      </c>
      <c r="AF542" t="s">
        <v>126</v>
      </c>
      <c r="AG542">
        <v>0</v>
      </c>
      <c r="AH542">
        <v>0</v>
      </c>
      <c r="AI542">
        <v>2</v>
      </c>
      <c r="AJ542">
        <v>0</v>
      </c>
      <c r="AK542" t="s">
        <v>402</v>
      </c>
      <c r="AL542">
        <v>31.939530000000001</v>
      </c>
      <c r="AM542" t="s">
        <v>403</v>
      </c>
      <c r="AN542">
        <v>-101.08284500000001</v>
      </c>
      <c r="AQ542" t="s">
        <v>129</v>
      </c>
      <c r="AR542">
        <v>82</v>
      </c>
      <c r="AS542">
        <v>-49</v>
      </c>
      <c r="AT542">
        <v>192</v>
      </c>
      <c r="BB542" t="str">
        <f t="shared" si="64"/>
        <v>1200</v>
      </c>
      <c r="BC542">
        <v>1</v>
      </c>
      <c r="BD542" t="str">
        <f t="shared" si="66"/>
        <v xml:space="preserve">N745MB  </v>
      </c>
      <c r="BE542">
        <v>1</v>
      </c>
      <c r="BG542">
        <v>0</v>
      </c>
      <c r="BH542">
        <v>0</v>
      </c>
      <c r="BI542">
        <v>0</v>
      </c>
      <c r="BL542" t="s">
        <v>130</v>
      </c>
      <c r="BM542">
        <v>1</v>
      </c>
      <c r="BN542">
        <v>0</v>
      </c>
      <c r="BO542">
        <v>0</v>
      </c>
      <c r="BP542">
        <v>0</v>
      </c>
      <c r="BT542">
        <v>0</v>
      </c>
      <c r="BU542">
        <v>0</v>
      </c>
      <c r="CE542" t="str">
        <f>"20:22:39.104"</f>
        <v>20:22:39.104</v>
      </c>
      <c r="CF542">
        <v>103728800</v>
      </c>
      <c r="CS542">
        <v>0</v>
      </c>
      <c r="CT542">
        <v>2</v>
      </c>
      <c r="CU542">
        <v>0</v>
      </c>
      <c r="CV542">
        <v>2</v>
      </c>
      <c r="CW542">
        <v>0</v>
      </c>
      <c r="CX542">
        <v>2</v>
      </c>
      <c r="CY542">
        <v>7</v>
      </c>
      <c r="CZ542" t="s">
        <v>131</v>
      </c>
      <c r="DA542">
        <v>116</v>
      </c>
      <c r="DB542">
        <v>0</v>
      </c>
      <c r="DC542" t="s">
        <v>132</v>
      </c>
      <c r="DD542" t="s">
        <v>133</v>
      </c>
      <c r="DG542">
        <v>14505343</v>
      </c>
      <c r="DI542">
        <v>0</v>
      </c>
      <c r="DJ542">
        <v>0</v>
      </c>
      <c r="DK542">
        <v>1</v>
      </c>
      <c r="DL542">
        <v>0</v>
      </c>
      <c r="DM542">
        <v>0</v>
      </c>
      <c r="DN542">
        <v>0</v>
      </c>
      <c r="DO542">
        <v>0</v>
      </c>
      <c r="DP542">
        <v>1</v>
      </c>
      <c r="DQ542">
        <v>0</v>
      </c>
      <c r="DR542">
        <v>0</v>
      </c>
      <c r="DS542">
        <v>0</v>
      </c>
    </row>
    <row r="543" spans="1:123" x14ac:dyDescent="0.25">
      <c r="A543" t="str">
        <f>"11/29/2023 20:22:39.555"</f>
        <v>11/29/2023 20:22:39.555</v>
      </c>
      <c r="C543" t="str">
        <f t="shared" si="65"/>
        <v>FFDF53C0</v>
      </c>
      <c r="D543" t="s">
        <v>123</v>
      </c>
      <c r="E543">
        <v>14</v>
      </c>
      <c r="F543">
        <v>1014</v>
      </c>
      <c r="G543" t="s">
        <v>124</v>
      </c>
      <c r="J543" t="s">
        <v>125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 t="shared" si="67"/>
        <v>20:22:39.102</v>
      </c>
      <c r="T543" t="str">
        <f t="shared" si="67"/>
        <v>20:22:39.102</v>
      </c>
      <c r="U543" t="str">
        <f t="shared" si="63"/>
        <v>AA0632</v>
      </c>
      <c r="V543">
        <v>0</v>
      </c>
      <c r="W543">
        <v>0</v>
      </c>
      <c r="X543">
        <v>2</v>
      </c>
      <c r="Y543">
        <v>0</v>
      </c>
      <c r="AA543">
        <v>0</v>
      </c>
      <c r="AB543">
        <v>9</v>
      </c>
      <c r="AC543">
        <v>3</v>
      </c>
      <c r="AD543">
        <v>0</v>
      </c>
      <c r="AE543">
        <v>10</v>
      </c>
      <c r="AF543" t="s">
        <v>126</v>
      </c>
      <c r="AG543">
        <v>0</v>
      </c>
      <c r="AH543">
        <v>0</v>
      </c>
      <c r="AI543">
        <v>2</v>
      </c>
      <c r="AJ543">
        <v>0</v>
      </c>
      <c r="AK543" t="s">
        <v>402</v>
      </c>
      <c r="AL543">
        <v>31.939530000000001</v>
      </c>
      <c r="AM543" t="s">
        <v>403</v>
      </c>
      <c r="AN543">
        <v>-101.08284500000001</v>
      </c>
      <c r="AQ543" t="s">
        <v>129</v>
      </c>
      <c r="AR543">
        <v>82</v>
      </c>
      <c r="AS543">
        <v>-49</v>
      </c>
      <c r="AT543">
        <v>192</v>
      </c>
      <c r="BB543" t="str">
        <f t="shared" si="64"/>
        <v>1200</v>
      </c>
      <c r="BC543">
        <v>1</v>
      </c>
      <c r="BD543" t="str">
        <f t="shared" si="66"/>
        <v xml:space="preserve">N745MB  </v>
      </c>
      <c r="BE543">
        <v>1</v>
      </c>
      <c r="BG543">
        <v>0</v>
      </c>
      <c r="BH543">
        <v>0</v>
      </c>
      <c r="BI543">
        <v>0</v>
      </c>
      <c r="BL543" t="s">
        <v>130</v>
      </c>
      <c r="BM543">
        <v>1</v>
      </c>
      <c r="BN543">
        <v>0</v>
      </c>
      <c r="BO543">
        <v>0</v>
      </c>
      <c r="BP543">
        <v>0</v>
      </c>
      <c r="BT543">
        <v>0</v>
      </c>
      <c r="BU543">
        <v>0</v>
      </c>
      <c r="CE543" t="str">
        <f>"20:22:39.104"</f>
        <v>20:22:39.104</v>
      </c>
      <c r="CF543">
        <v>103728800</v>
      </c>
      <c r="CS543">
        <v>0</v>
      </c>
      <c r="CT543">
        <v>2</v>
      </c>
      <c r="CU543">
        <v>0</v>
      </c>
      <c r="CV543">
        <v>2</v>
      </c>
      <c r="CW543">
        <v>0</v>
      </c>
      <c r="CX543">
        <v>2</v>
      </c>
      <c r="CY543">
        <v>7</v>
      </c>
      <c r="CZ543" t="s">
        <v>131</v>
      </c>
      <c r="DA543">
        <v>116</v>
      </c>
      <c r="DB543">
        <v>0</v>
      </c>
      <c r="DC543" t="s">
        <v>132</v>
      </c>
      <c r="DD543" t="s">
        <v>133</v>
      </c>
      <c r="DG543">
        <v>14505343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1</v>
      </c>
      <c r="DQ543">
        <v>0</v>
      </c>
      <c r="DR543">
        <v>0</v>
      </c>
      <c r="DS543">
        <v>0</v>
      </c>
    </row>
    <row r="544" spans="1:123" x14ac:dyDescent="0.25">
      <c r="A544" t="str">
        <f>"11/29/2023 20:22:40.961"</f>
        <v>11/29/2023 20:22:40.961</v>
      </c>
      <c r="C544" t="str">
        <f t="shared" si="65"/>
        <v>FFDF53C0</v>
      </c>
      <c r="D544" t="s">
        <v>123</v>
      </c>
      <c r="E544">
        <v>14</v>
      </c>
      <c r="F544">
        <v>1014</v>
      </c>
      <c r="G544" t="s">
        <v>124</v>
      </c>
      <c r="J544" t="s">
        <v>125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"20:22:40.633"</f>
        <v>20:22:40.633</v>
      </c>
      <c r="T544" t="str">
        <f>"20:22:39.633"</f>
        <v>20:22:39.633</v>
      </c>
      <c r="U544" t="str">
        <f t="shared" si="63"/>
        <v>AA0632</v>
      </c>
      <c r="V544">
        <v>0</v>
      </c>
      <c r="W544">
        <v>0</v>
      </c>
      <c r="X544">
        <v>2</v>
      </c>
      <c r="Y544">
        <v>0</v>
      </c>
      <c r="AA544">
        <v>0</v>
      </c>
      <c r="AB544">
        <v>9</v>
      </c>
      <c r="AC544">
        <v>3</v>
      </c>
      <c r="AD544">
        <v>0</v>
      </c>
      <c r="AE544">
        <v>10</v>
      </c>
      <c r="AF544" t="s">
        <v>126</v>
      </c>
      <c r="AG544">
        <v>0</v>
      </c>
      <c r="AH544">
        <v>0</v>
      </c>
      <c r="AI544">
        <v>2</v>
      </c>
      <c r="AJ544">
        <v>0</v>
      </c>
      <c r="AK544" t="s">
        <v>404</v>
      </c>
      <c r="AL544">
        <v>31.939229999999998</v>
      </c>
      <c r="AM544" t="s">
        <v>405</v>
      </c>
      <c r="AN544">
        <v>-101.08217999999999</v>
      </c>
      <c r="AQ544" t="s">
        <v>129</v>
      </c>
      <c r="AR544">
        <v>82</v>
      </c>
      <c r="AS544">
        <v>-49</v>
      </c>
      <c r="AT544">
        <v>256</v>
      </c>
      <c r="BB544" t="str">
        <f t="shared" si="64"/>
        <v>1200</v>
      </c>
      <c r="BC544">
        <v>1</v>
      </c>
      <c r="BD544" t="str">
        <f t="shared" si="66"/>
        <v xml:space="preserve">N745MB  </v>
      </c>
      <c r="BE544">
        <v>1</v>
      </c>
      <c r="BG544">
        <v>0</v>
      </c>
      <c r="BH544">
        <v>0</v>
      </c>
      <c r="BI544">
        <v>0</v>
      </c>
      <c r="BL544" t="s">
        <v>130</v>
      </c>
      <c r="BM544">
        <v>1</v>
      </c>
      <c r="BN544">
        <v>0</v>
      </c>
      <c r="BO544">
        <v>0</v>
      </c>
      <c r="BP544">
        <v>0</v>
      </c>
      <c r="BT544">
        <v>0</v>
      </c>
      <c r="BU544">
        <v>0</v>
      </c>
      <c r="CE544" t="str">
        <f>"20:22:40.634"</f>
        <v>20:22:40.634</v>
      </c>
      <c r="CF544">
        <v>633624807</v>
      </c>
      <c r="CS544">
        <v>0</v>
      </c>
      <c r="CT544">
        <v>2</v>
      </c>
      <c r="CU544">
        <v>0</v>
      </c>
      <c r="CV544">
        <v>2</v>
      </c>
      <c r="CW544">
        <v>0</v>
      </c>
      <c r="CX544">
        <v>1</v>
      </c>
      <c r="CY544">
        <v>7</v>
      </c>
      <c r="CZ544" t="s">
        <v>131</v>
      </c>
      <c r="DA544">
        <v>116</v>
      </c>
      <c r="DB544">
        <v>3</v>
      </c>
      <c r="DC544" t="s">
        <v>132</v>
      </c>
      <c r="DD544" t="s">
        <v>133</v>
      </c>
      <c r="DG544">
        <v>8306006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1</v>
      </c>
      <c r="DQ544">
        <v>0</v>
      </c>
      <c r="DR544">
        <v>0</v>
      </c>
      <c r="DS544">
        <v>0</v>
      </c>
    </row>
    <row r="545" spans="1:123" x14ac:dyDescent="0.25">
      <c r="A545" t="str">
        <f>"11/29/2023 20:22:41.055"</f>
        <v>11/29/2023 20:22:41.055</v>
      </c>
      <c r="C545" t="str">
        <f t="shared" si="65"/>
        <v>FFDF53C0</v>
      </c>
      <c r="D545" t="s">
        <v>135</v>
      </c>
      <c r="E545">
        <v>31</v>
      </c>
      <c r="H545">
        <v>285</v>
      </c>
      <c r="I545" t="s">
        <v>136</v>
      </c>
      <c r="J545" t="s">
        <v>137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"20:22:40.633"</f>
        <v>20:22:40.633</v>
      </c>
      <c r="T545" t="str">
        <f>"20:22:39.633"</f>
        <v>20:22:39.633</v>
      </c>
      <c r="U545" t="str">
        <f t="shared" si="63"/>
        <v>AA0632</v>
      </c>
      <c r="V545">
        <v>0</v>
      </c>
      <c r="W545">
        <v>0</v>
      </c>
      <c r="X545">
        <v>2</v>
      </c>
      <c r="Y545">
        <v>0</v>
      </c>
      <c r="AA545">
        <v>0</v>
      </c>
      <c r="AB545">
        <v>9</v>
      </c>
      <c r="AC545">
        <v>3</v>
      </c>
      <c r="AD545">
        <v>0</v>
      </c>
      <c r="AE545">
        <v>10</v>
      </c>
      <c r="AF545" t="s">
        <v>126</v>
      </c>
      <c r="AG545">
        <v>0</v>
      </c>
      <c r="AH545">
        <v>0</v>
      </c>
      <c r="AI545">
        <v>2</v>
      </c>
      <c r="AJ545">
        <v>0</v>
      </c>
      <c r="AK545" t="s">
        <v>404</v>
      </c>
      <c r="AL545">
        <v>31.939229999999998</v>
      </c>
      <c r="AM545" t="s">
        <v>405</v>
      </c>
      <c r="AN545">
        <v>-101.08217999999999</v>
      </c>
      <c r="AQ545" t="s">
        <v>129</v>
      </c>
      <c r="AR545">
        <v>82</v>
      </c>
      <c r="AS545">
        <v>-49</v>
      </c>
      <c r="AT545">
        <v>256</v>
      </c>
      <c r="BB545" t="str">
        <f t="shared" si="64"/>
        <v>1200</v>
      </c>
      <c r="BC545">
        <v>1</v>
      </c>
      <c r="BD545" t="str">
        <f t="shared" si="66"/>
        <v xml:space="preserve">N745MB  </v>
      </c>
      <c r="BE545">
        <v>1</v>
      </c>
      <c r="BG545">
        <v>0</v>
      </c>
      <c r="BH545">
        <v>0</v>
      </c>
      <c r="BI545">
        <v>0</v>
      </c>
      <c r="BL545" t="s">
        <v>130</v>
      </c>
      <c r="BM545">
        <v>1</v>
      </c>
      <c r="BN545">
        <v>0</v>
      </c>
      <c r="BO545">
        <v>0</v>
      </c>
      <c r="BP545">
        <v>0</v>
      </c>
      <c r="BT545">
        <v>0</v>
      </c>
      <c r="BU545">
        <v>0</v>
      </c>
      <c r="CE545" t="str">
        <f>"20:22:40.634"</f>
        <v>20:22:40.634</v>
      </c>
      <c r="CF545">
        <v>633624807</v>
      </c>
      <c r="CS545">
        <v>0</v>
      </c>
      <c r="CT545">
        <v>2</v>
      </c>
      <c r="CU545">
        <v>0</v>
      </c>
      <c r="CV545">
        <v>2</v>
      </c>
      <c r="CW545">
        <v>0</v>
      </c>
      <c r="CX545">
        <v>1</v>
      </c>
      <c r="CY545">
        <v>7</v>
      </c>
      <c r="CZ545" t="s">
        <v>131</v>
      </c>
      <c r="DA545">
        <v>116</v>
      </c>
      <c r="DB545">
        <v>3</v>
      </c>
      <c r="DC545" t="s">
        <v>132</v>
      </c>
      <c r="DD545" t="s">
        <v>133</v>
      </c>
      <c r="DG545">
        <v>8306006</v>
      </c>
      <c r="DI545">
        <v>0</v>
      </c>
      <c r="DJ545">
        <v>0</v>
      </c>
      <c r="DK545">
        <v>1</v>
      </c>
      <c r="DL545">
        <v>0</v>
      </c>
      <c r="DM545">
        <v>0</v>
      </c>
      <c r="DN545">
        <v>0</v>
      </c>
      <c r="DO545">
        <v>0</v>
      </c>
      <c r="DP545">
        <v>1</v>
      </c>
      <c r="DQ545">
        <v>0</v>
      </c>
      <c r="DR545">
        <v>0</v>
      </c>
      <c r="DS545">
        <v>0</v>
      </c>
    </row>
    <row r="546" spans="1:123" x14ac:dyDescent="0.25">
      <c r="A546" t="str">
        <f>"11/29/2023 20:22:41.977"</f>
        <v>11/29/2023 20:22:41.977</v>
      </c>
      <c r="C546" t="str">
        <f t="shared" si="65"/>
        <v>FFDF53C0</v>
      </c>
      <c r="D546" t="s">
        <v>123</v>
      </c>
      <c r="E546">
        <v>14</v>
      </c>
      <c r="F546">
        <v>1014</v>
      </c>
      <c r="G546" t="s">
        <v>124</v>
      </c>
      <c r="J546" t="s">
        <v>125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"20:22:41.539"</f>
        <v>20:22:41.539</v>
      </c>
      <c r="T546" t="str">
        <f>"20:22:41.139"</f>
        <v>20:22:41.139</v>
      </c>
      <c r="U546" t="str">
        <f t="shared" si="63"/>
        <v>AA0632</v>
      </c>
      <c r="V546">
        <v>0</v>
      </c>
      <c r="W546">
        <v>0</v>
      </c>
      <c r="X546">
        <v>2</v>
      </c>
      <c r="Y546">
        <v>0</v>
      </c>
      <c r="AA546">
        <v>0</v>
      </c>
      <c r="AB546">
        <v>9</v>
      </c>
      <c r="AC546">
        <v>3</v>
      </c>
      <c r="AD546">
        <v>0</v>
      </c>
      <c r="AE546">
        <v>10</v>
      </c>
      <c r="AF546" t="s">
        <v>126</v>
      </c>
      <c r="AG546">
        <v>0</v>
      </c>
      <c r="AH546">
        <v>0</v>
      </c>
      <c r="AI546">
        <v>2</v>
      </c>
      <c r="AJ546">
        <v>0</v>
      </c>
      <c r="AK546" t="s">
        <v>406</v>
      </c>
      <c r="AL546">
        <v>31.938972</v>
      </c>
      <c r="AM546" t="s">
        <v>407</v>
      </c>
      <c r="AN546">
        <v>-101.081793</v>
      </c>
      <c r="AQ546" t="s">
        <v>129</v>
      </c>
      <c r="AR546">
        <v>82</v>
      </c>
      <c r="AS546">
        <v>-49</v>
      </c>
      <c r="AT546">
        <v>0</v>
      </c>
      <c r="BB546" t="str">
        <f t="shared" si="64"/>
        <v>1200</v>
      </c>
      <c r="BC546">
        <v>1</v>
      </c>
      <c r="BD546" t="str">
        <f t="shared" si="66"/>
        <v xml:space="preserve">N745MB  </v>
      </c>
      <c r="BE546">
        <v>1</v>
      </c>
      <c r="BG546">
        <v>0</v>
      </c>
      <c r="BH546">
        <v>0</v>
      </c>
      <c r="BI546">
        <v>0</v>
      </c>
      <c r="BL546" t="s">
        <v>130</v>
      </c>
      <c r="BM546">
        <v>1</v>
      </c>
      <c r="BN546">
        <v>0</v>
      </c>
      <c r="BO546">
        <v>0</v>
      </c>
      <c r="BP546">
        <v>0</v>
      </c>
      <c r="BT546">
        <v>0</v>
      </c>
      <c r="BU546">
        <v>0</v>
      </c>
      <c r="CE546" t="str">
        <f>"20:22:41.544"</f>
        <v>20:22:41.544</v>
      </c>
      <c r="CF546">
        <v>543563077</v>
      </c>
      <c r="CS546">
        <v>0</v>
      </c>
      <c r="CT546">
        <v>2</v>
      </c>
      <c r="CU546">
        <v>0</v>
      </c>
      <c r="CV546">
        <v>2</v>
      </c>
      <c r="CW546">
        <v>0</v>
      </c>
      <c r="CX546">
        <v>2</v>
      </c>
      <c r="CY546">
        <v>7</v>
      </c>
      <c r="CZ546" t="s">
        <v>131</v>
      </c>
      <c r="DA546">
        <v>116</v>
      </c>
      <c r="DB546">
        <v>0</v>
      </c>
      <c r="DC546" t="s">
        <v>132</v>
      </c>
      <c r="DD546" t="s">
        <v>133</v>
      </c>
      <c r="DG546">
        <v>14507451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1</v>
      </c>
      <c r="DQ546">
        <v>0</v>
      </c>
      <c r="DR546">
        <v>0</v>
      </c>
      <c r="DS546">
        <v>0</v>
      </c>
    </row>
    <row r="547" spans="1:123" x14ac:dyDescent="0.25">
      <c r="A547" t="str">
        <f>"11/29/2023 20:22:41.977"</f>
        <v>11/29/2023 20:22:41.977</v>
      </c>
      <c r="C547" t="str">
        <f t="shared" si="65"/>
        <v>FFDF53C0</v>
      </c>
      <c r="D547" t="s">
        <v>135</v>
      </c>
      <c r="E547">
        <v>31</v>
      </c>
      <c r="H547">
        <v>285</v>
      </c>
      <c r="I547" t="s">
        <v>136</v>
      </c>
      <c r="J547" t="s">
        <v>137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"20:22:41.539"</f>
        <v>20:22:41.539</v>
      </c>
      <c r="T547" t="str">
        <f>"20:22:41.139"</f>
        <v>20:22:41.139</v>
      </c>
      <c r="U547" t="str">
        <f t="shared" si="63"/>
        <v>AA0632</v>
      </c>
      <c r="V547">
        <v>0</v>
      </c>
      <c r="W547">
        <v>0</v>
      </c>
      <c r="X547">
        <v>2</v>
      </c>
      <c r="Y547">
        <v>0</v>
      </c>
      <c r="AA547">
        <v>0</v>
      </c>
      <c r="AB547">
        <v>9</v>
      </c>
      <c r="AC547">
        <v>3</v>
      </c>
      <c r="AD547">
        <v>0</v>
      </c>
      <c r="AE547">
        <v>10</v>
      </c>
      <c r="AF547" t="s">
        <v>126</v>
      </c>
      <c r="AG547">
        <v>0</v>
      </c>
      <c r="AH547">
        <v>0</v>
      </c>
      <c r="AI547">
        <v>2</v>
      </c>
      <c r="AJ547">
        <v>0</v>
      </c>
      <c r="AK547" t="s">
        <v>406</v>
      </c>
      <c r="AL547">
        <v>31.938972</v>
      </c>
      <c r="AM547" t="s">
        <v>407</v>
      </c>
      <c r="AN547">
        <v>-101.081793</v>
      </c>
      <c r="AQ547" t="s">
        <v>129</v>
      </c>
      <c r="AR547">
        <v>82</v>
      </c>
      <c r="AS547">
        <v>-49</v>
      </c>
      <c r="AT547">
        <v>0</v>
      </c>
      <c r="BB547" t="str">
        <f t="shared" si="64"/>
        <v>1200</v>
      </c>
      <c r="BC547">
        <v>1</v>
      </c>
      <c r="BD547" t="str">
        <f t="shared" si="66"/>
        <v xml:space="preserve">N745MB  </v>
      </c>
      <c r="BE547">
        <v>1</v>
      </c>
      <c r="BG547">
        <v>0</v>
      </c>
      <c r="BH547">
        <v>0</v>
      </c>
      <c r="BI547">
        <v>0</v>
      </c>
      <c r="BL547" t="s">
        <v>130</v>
      </c>
      <c r="BM547">
        <v>1</v>
      </c>
      <c r="BN547">
        <v>0</v>
      </c>
      <c r="BO547">
        <v>0</v>
      </c>
      <c r="BP547">
        <v>0</v>
      </c>
      <c r="BT547">
        <v>0</v>
      </c>
      <c r="BU547">
        <v>0</v>
      </c>
      <c r="CE547" t="str">
        <f>"20:22:41.544"</f>
        <v>20:22:41.544</v>
      </c>
      <c r="CF547">
        <v>543563077</v>
      </c>
      <c r="CS547">
        <v>0</v>
      </c>
      <c r="CT547">
        <v>2</v>
      </c>
      <c r="CU547">
        <v>0</v>
      </c>
      <c r="CV547">
        <v>2</v>
      </c>
      <c r="CW547">
        <v>0</v>
      </c>
      <c r="CX547">
        <v>2</v>
      </c>
      <c r="CY547">
        <v>7</v>
      </c>
      <c r="CZ547" t="s">
        <v>131</v>
      </c>
      <c r="DA547">
        <v>116</v>
      </c>
      <c r="DB547">
        <v>0</v>
      </c>
      <c r="DC547" t="s">
        <v>132</v>
      </c>
      <c r="DD547" t="s">
        <v>133</v>
      </c>
      <c r="DG547">
        <v>14507451</v>
      </c>
      <c r="DI547">
        <v>0</v>
      </c>
      <c r="DJ547">
        <v>0</v>
      </c>
      <c r="DK547">
        <v>1</v>
      </c>
      <c r="DL547">
        <v>0</v>
      </c>
      <c r="DM547">
        <v>0</v>
      </c>
      <c r="DN547">
        <v>0</v>
      </c>
      <c r="DO547">
        <v>0</v>
      </c>
      <c r="DP547">
        <v>1</v>
      </c>
      <c r="DQ547">
        <v>0</v>
      </c>
      <c r="DR547">
        <v>0</v>
      </c>
      <c r="DS547">
        <v>0</v>
      </c>
    </row>
    <row r="548" spans="1:123" x14ac:dyDescent="0.25">
      <c r="A548" t="str">
        <f>"11/29/2023 20:22:41.977"</f>
        <v>11/29/2023 20:22:41.977</v>
      </c>
      <c r="C548" t="str">
        <f t="shared" ref="C548:C579" si="68">"FFDF53C0"</f>
        <v>FFDF53C0</v>
      </c>
      <c r="D548" t="s">
        <v>123</v>
      </c>
      <c r="E548">
        <v>1</v>
      </c>
      <c r="F548">
        <v>1001</v>
      </c>
      <c r="G548" t="s">
        <v>134</v>
      </c>
      <c r="J548" t="s">
        <v>125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"20:22:41.539"</f>
        <v>20:22:41.539</v>
      </c>
      <c r="T548" t="str">
        <f>"20:22:41.139"</f>
        <v>20:22:41.139</v>
      </c>
      <c r="U548" t="str">
        <f t="shared" si="63"/>
        <v>AA0632</v>
      </c>
      <c r="V548">
        <v>0</v>
      </c>
      <c r="W548">
        <v>0</v>
      </c>
      <c r="X548">
        <v>2</v>
      </c>
      <c r="Y548">
        <v>0</v>
      </c>
      <c r="AA548">
        <v>0</v>
      </c>
      <c r="AB548">
        <v>9</v>
      </c>
      <c r="AC548">
        <v>3</v>
      </c>
      <c r="AD548">
        <v>0</v>
      </c>
      <c r="AE548">
        <v>10</v>
      </c>
      <c r="AF548" t="s">
        <v>126</v>
      </c>
      <c r="AG548">
        <v>0</v>
      </c>
      <c r="AH548">
        <v>0</v>
      </c>
      <c r="AI548">
        <v>2</v>
      </c>
      <c r="AJ548">
        <v>0</v>
      </c>
      <c r="AK548" t="s">
        <v>406</v>
      </c>
      <c r="AL548">
        <v>31.938972</v>
      </c>
      <c r="AM548" t="s">
        <v>407</v>
      </c>
      <c r="AN548">
        <v>-101.081793</v>
      </c>
      <c r="AQ548" t="s">
        <v>129</v>
      </c>
      <c r="AR548">
        <v>82</v>
      </c>
      <c r="AS548">
        <v>-49</v>
      </c>
      <c r="AT548">
        <v>0</v>
      </c>
      <c r="BB548" t="str">
        <f t="shared" si="64"/>
        <v>1200</v>
      </c>
      <c r="BC548">
        <v>1</v>
      </c>
      <c r="BD548" t="str">
        <f t="shared" si="66"/>
        <v xml:space="preserve">N745MB  </v>
      </c>
      <c r="BE548">
        <v>1</v>
      </c>
      <c r="BG548">
        <v>0</v>
      </c>
      <c r="BH548">
        <v>0</v>
      </c>
      <c r="BI548">
        <v>0</v>
      </c>
      <c r="BL548" t="s">
        <v>130</v>
      </c>
      <c r="BM548">
        <v>1</v>
      </c>
      <c r="BN548">
        <v>0</v>
      </c>
      <c r="BO548">
        <v>0</v>
      </c>
      <c r="BP548">
        <v>0</v>
      </c>
      <c r="BT548">
        <v>0</v>
      </c>
      <c r="BU548">
        <v>0</v>
      </c>
      <c r="CE548" t="str">
        <f>"20:22:41.544"</f>
        <v>20:22:41.544</v>
      </c>
      <c r="CF548">
        <v>543563077</v>
      </c>
      <c r="CS548">
        <v>0</v>
      </c>
      <c r="CT548">
        <v>2</v>
      </c>
      <c r="CU548">
        <v>0</v>
      </c>
      <c r="CV548">
        <v>2</v>
      </c>
      <c r="CW548">
        <v>0</v>
      </c>
      <c r="CX548">
        <v>2</v>
      </c>
      <c r="CY548">
        <v>7</v>
      </c>
      <c r="CZ548" t="s">
        <v>131</v>
      </c>
      <c r="DA548">
        <v>116</v>
      </c>
      <c r="DB548">
        <v>0</v>
      </c>
      <c r="DC548" t="s">
        <v>132</v>
      </c>
      <c r="DD548" t="s">
        <v>133</v>
      </c>
      <c r="DG548">
        <v>14507451</v>
      </c>
      <c r="DI548">
        <v>0</v>
      </c>
      <c r="DJ548">
        <v>0</v>
      </c>
      <c r="DK548">
        <v>1</v>
      </c>
      <c r="DL548">
        <v>0</v>
      </c>
      <c r="DM548">
        <v>0</v>
      </c>
      <c r="DN548">
        <v>0</v>
      </c>
      <c r="DO548">
        <v>0</v>
      </c>
      <c r="DP548">
        <v>1</v>
      </c>
      <c r="DQ548">
        <v>0</v>
      </c>
      <c r="DR548">
        <v>0</v>
      </c>
      <c r="DS548">
        <v>0</v>
      </c>
    </row>
    <row r="549" spans="1:123" x14ac:dyDescent="0.25">
      <c r="A549" t="str">
        <f>"11/29/2023 20:22:41.977"</f>
        <v>11/29/2023 20:22:41.977</v>
      </c>
      <c r="C549" t="str">
        <f t="shared" si="68"/>
        <v>FFDF53C0</v>
      </c>
      <c r="D549" t="s">
        <v>138</v>
      </c>
      <c r="E549">
        <v>3</v>
      </c>
      <c r="H549">
        <v>160</v>
      </c>
      <c r="I549" t="s">
        <v>124</v>
      </c>
      <c r="J549" t="s">
        <v>139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"20:22:41.539"</f>
        <v>20:22:41.539</v>
      </c>
      <c r="T549" t="str">
        <f>"20:22:41.139"</f>
        <v>20:22:41.139</v>
      </c>
      <c r="U549" t="str">
        <f t="shared" si="63"/>
        <v>AA0632</v>
      </c>
      <c r="V549">
        <v>0</v>
      </c>
      <c r="W549">
        <v>0</v>
      </c>
      <c r="X549">
        <v>2</v>
      </c>
      <c r="Y549">
        <v>0</v>
      </c>
      <c r="AA549">
        <v>0</v>
      </c>
      <c r="AB549">
        <v>9</v>
      </c>
      <c r="AC549">
        <v>3</v>
      </c>
      <c r="AD549">
        <v>0</v>
      </c>
      <c r="AE549">
        <v>10</v>
      </c>
      <c r="AF549" t="s">
        <v>126</v>
      </c>
      <c r="AG549">
        <v>0</v>
      </c>
      <c r="AH549">
        <v>0</v>
      </c>
      <c r="AI549">
        <v>2</v>
      </c>
      <c r="AJ549">
        <v>0</v>
      </c>
      <c r="AK549" t="s">
        <v>406</v>
      </c>
      <c r="AL549">
        <v>31.938972</v>
      </c>
      <c r="AM549" t="s">
        <v>407</v>
      </c>
      <c r="AN549">
        <v>-101.081793</v>
      </c>
      <c r="AQ549" t="s">
        <v>129</v>
      </c>
      <c r="AR549">
        <v>82</v>
      </c>
      <c r="AS549">
        <v>-49</v>
      </c>
      <c r="AT549">
        <v>0</v>
      </c>
      <c r="BB549" t="str">
        <f t="shared" si="64"/>
        <v>1200</v>
      </c>
      <c r="BC549">
        <v>1</v>
      </c>
      <c r="BD549" t="str">
        <f t="shared" si="66"/>
        <v xml:space="preserve">N745MB  </v>
      </c>
      <c r="BE549">
        <v>1</v>
      </c>
      <c r="BG549">
        <v>0</v>
      </c>
      <c r="BH549">
        <v>0</v>
      </c>
      <c r="BI549">
        <v>0</v>
      </c>
      <c r="BL549" t="s">
        <v>130</v>
      </c>
      <c r="BM549">
        <v>1</v>
      </c>
      <c r="BN549">
        <v>0</v>
      </c>
      <c r="BO549">
        <v>0</v>
      </c>
      <c r="BP549">
        <v>0</v>
      </c>
      <c r="BT549">
        <v>0</v>
      </c>
      <c r="BU549">
        <v>0</v>
      </c>
      <c r="CE549" t="str">
        <f>"20:22:41.544"</f>
        <v>20:22:41.544</v>
      </c>
      <c r="CF549">
        <v>543563077</v>
      </c>
      <c r="CS549">
        <v>0</v>
      </c>
      <c r="CT549">
        <v>2</v>
      </c>
      <c r="CU549">
        <v>0</v>
      </c>
      <c r="CV549">
        <v>2</v>
      </c>
      <c r="CW549">
        <v>0</v>
      </c>
      <c r="CX549">
        <v>2</v>
      </c>
      <c r="CY549">
        <v>7</v>
      </c>
      <c r="CZ549" t="s">
        <v>131</v>
      </c>
      <c r="DA549">
        <v>116</v>
      </c>
      <c r="DB549">
        <v>0</v>
      </c>
      <c r="DC549" t="s">
        <v>132</v>
      </c>
      <c r="DD549" t="s">
        <v>133</v>
      </c>
      <c r="DG549">
        <v>14507451</v>
      </c>
      <c r="DI549">
        <v>0</v>
      </c>
      <c r="DJ549">
        <v>0</v>
      </c>
      <c r="DK549">
        <v>1</v>
      </c>
      <c r="DL549">
        <v>0</v>
      </c>
      <c r="DM549">
        <v>0</v>
      </c>
      <c r="DN549">
        <v>0</v>
      </c>
      <c r="DO549">
        <v>0</v>
      </c>
      <c r="DP549">
        <v>1</v>
      </c>
      <c r="DQ549">
        <v>0</v>
      </c>
      <c r="DR549">
        <v>0</v>
      </c>
      <c r="DS549">
        <v>0</v>
      </c>
    </row>
    <row r="550" spans="1:123" x14ac:dyDescent="0.25">
      <c r="A550" t="str">
        <f>"11/29/2023 20:22:43.024"</f>
        <v>11/29/2023 20:22:43.024</v>
      </c>
      <c r="C550" t="str">
        <f t="shared" si="68"/>
        <v>FFDF53C0</v>
      </c>
      <c r="D550" t="s">
        <v>123</v>
      </c>
      <c r="E550">
        <v>14</v>
      </c>
      <c r="F550">
        <v>1014</v>
      </c>
      <c r="G550" t="s">
        <v>124</v>
      </c>
      <c r="J550" t="s">
        <v>125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 t="shared" ref="S550:T553" si="69">"20:22:42.578"</f>
        <v>20:22:42.578</v>
      </c>
      <c r="T550" t="str">
        <f t="shared" si="69"/>
        <v>20:22:42.578</v>
      </c>
      <c r="U550" t="str">
        <f t="shared" si="63"/>
        <v>AA0632</v>
      </c>
      <c r="V550">
        <v>0</v>
      </c>
      <c r="W550">
        <v>0</v>
      </c>
      <c r="X550">
        <v>2</v>
      </c>
      <c r="Y550">
        <v>0</v>
      </c>
      <c r="AA550">
        <v>0</v>
      </c>
      <c r="AB550">
        <v>9</v>
      </c>
      <c r="AC550">
        <v>3</v>
      </c>
      <c r="AD550">
        <v>0</v>
      </c>
      <c r="AE550">
        <v>10</v>
      </c>
      <c r="AF550" t="s">
        <v>126</v>
      </c>
      <c r="AG550">
        <v>0</v>
      </c>
      <c r="AH550">
        <v>0</v>
      </c>
      <c r="AI550">
        <v>2</v>
      </c>
      <c r="AJ550">
        <v>0</v>
      </c>
      <c r="AK550" t="s">
        <v>408</v>
      </c>
      <c r="AL550">
        <v>31.938735999999999</v>
      </c>
      <c r="AM550" t="s">
        <v>409</v>
      </c>
      <c r="AN550">
        <v>-101.081278</v>
      </c>
      <c r="AQ550" t="s">
        <v>129</v>
      </c>
      <c r="AR550">
        <v>81</v>
      </c>
      <c r="AS550">
        <v>-49</v>
      </c>
      <c r="AT550">
        <v>0</v>
      </c>
      <c r="BB550" t="str">
        <f t="shared" si="64"/>
        <v>1200</v>
      </c>
      <c r="BC550">
        <v>1</v>
      </c>
      <c r="BD550" t="str">
        <f t="shared" si="66"/>
        <v xml:space="preserve">N745MB  </v>
      </c>
      <c r="BE550">
        <v>1</v>
      </c>
      <c r="BG550">
        <v>0</v>
      </c>
      <c r="BH550">
        <v>0</v>
      </c>
      <c r="BI550">
        <v>0</v>
      </c>
      <c r="BL550" t="s">
        <v>130</v>
      </c>
      <c r="BM550">
        <v>1</v>
      </c>
      <c r="BN550">
        <v>0</v>
      </c>
      <c r="BO550">
        <v>0</v>
      </c>
      <c r="BP550">
        <v>0</v>
      </c>
      <c r="BT550">
        <v>0</v>
      </c>
      <c r="BU550">
        <v>0</v>
      </c>
      <c r="CE550" t="str">
        <f>"20:22:42.585"</f>
        <v>20:22:42.585</v>
      </c>
      <c r="CF550">
        <v>585493610</v>
      </c>
      <c r="CS550">
        <v>0</v>
      </c>
      <c r="CT550">
        <v>2</v>
      </c>
      <c r="CU550">
        <v>0</v>
      </c>
      <c r="CV550">
        <v>2</v>
      </c>
      <c r="CW550">
        <v>0</v>
      </c>
      <c r="CX550">
        <v>2</v>
      </c>
      <c r="CY550">
        <v>7</v>
      </c>
      <c r="CZ550" t="s">
        <v>131</v>
      </c>
      <c r="DA550">
        <v>116</v>
      </c>
      <c r="DB550">
        <v>0</v>
      </c>
      <c r="DC550" t="s">
        <v>132</v>
      </c>
      <c r="DD550" t="s">
        <v>133</v>
      </c>
      <c r="DG550">
        <v>14508355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1</v>
      </c>
      <c r="DQ550">
        <v>0</v>
      </c>
      <c r="DR550">
        <v>0</v>
      </c>
      <c r="DS550">
        <v>0</v>
      </c>
    </row>
    <row r="551" spans="1:123" x14ac:dyDescent="0.25">
      <c r="A551" t="str">
        <f>"11/29/2023 20:22:43.039"</f>
        <v>11/29/2023 20:22:43.039</v>
      </c>
      <c r="C551" t="str">
        <f t="shared" si="68"/>
        <v>FFDF53C0</v>
      </c>
      <c r="D551" t="s">
        <v>135</v>
      </c>
      <c r="E551">
        <v>31</v>
      </c>
      <c r="H551">
        <v>285</v>
      </c>
      <c r="I551" t="s">
        <v>136</v>
      </c>
      <c r="J551" t="s">
        <v>137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 t="shared" si="69"/>
        <v>20:22:42.578</v>
      </c>
      <c r="T551" t="str">
        <f t="shared" si="69"/>
        <v>20:22:42.578</v>
      </c>
      <c r="U551" t="str">
        <f t="shared" si="63"/>
        <v>AA0632</v>
      </c>
      <c r="V551">
        <v>0</v>
      </c>
      <c r="W551">
        <v>0</v>
      </c>
      <c r="X551">
        <v>2</v>
      </c>
      <c r="Y551">
        <v>0</v>
      </c>
      <c r="AA551">
        <v>0</v>
      </c>
      <c r="AB551">
        <v>9</v>
      </c>
      <c r="AC551">
        <v>3</v>
      </c>
      <c r="AD551">
        <v>0</v>
      </c>
      <c r="AE551">
        <v>10</v>
      </c>
      <c r="AF551" t="s">
        <v>126</v>
      </c>
      <c r="AG551">
        <v>0</v>
      </c>
      <c r="AH551">
        <v>0</v>
      </c>
      <c r="AI551">
        <v>2</v>
      </c>
      <c r="AJ551">
        <v>0</v>
      </c>
      <c r="AK551" t="s">
        <v>408</v>
      </c>
      <c r="AL551">
        <v>31.938735999999999</v>
      </c>
      <c r="AM551" t="s">
        <v>409</v>
      </c>
      <c r="AN551">
        <v>-101.081278</v>
      </c>
      <c r="AQ551" t="s">
        <v>129</v>
      </c>
      <c r="AR551">
        <v>81</v>
      </c>
      <c r="AS551">
        <v>-49</v>
      </c>
      <c r="AT551">
        <v>0</v>
      </c>
      <c r="BB551" t="str">
        <f t="shared" si="64"/>
        <v>1200</v>
      </c>
      <c r="BC551">
        <v>1</v>
      </c>
      <c r="BD551" t="str">
        <f t="shared" si="66"/>
        <v xml:space="preserve">N745MB  </v>
      </c>
      <c r="BE551">
        <v>1</v>
      </c>
      <c r="BG551">
        <v>0</v>
      </c>
      <c r="BH551">
        <v>0</v>
      </c>
      <c r="BI551">
        <v>0</v>
      </c>
      <c r="BL551" t="s">
        <v>130</v>
      </c>
      <c r="BM551">
        <v>1</v>
      </c>
      <c r="BN551">
        <v>0</v>
      </c>
      <c r="BO551">
        <v>0</v>
      </c>
      <c r="BP551">
        <v>0</v>
      </c>
      <c r="BT551">
        <v>0</v>
      </c>
      <c r="BU551">
        <v>0</v>
      </c>
      <c r="CE551" t="str">
        <f>"20:22:42.585"</f>
        <v>20:22:42.585</v>
      </c>
      <c r="CF551">
        <v>585493610</v>
      </c>
      <c r="CS551">
        <v>0</v>
      </c>
      <c r="CT551">
        <v>2</v>
      </c>
      <c r="CU551">
        <v>0</v>
      </c>
      <c r="CV551">
        <v>2</v>
      </c>
      <c r="CW551">
        <v>0</v>
      </c>
      <c r="CX551">
        <v>2</v>
      </c>
      <c r="CY551">
        <v>7</v>
      </c>
      <c r="CZ551" t="s">
        <v>131</v>
      </c>
      <c r="DA551">
        <v>116</v>
      </c>
      <c r="DB551">
        <v>0</v>
      </c>
      <c r="DC551" t="s">
        <v>132</v>
      </c>
      <c r="DD551" t="s">
        <v>133</v>
      </c>
      <c r="DG551">
        <v>14508355</v>
      </c>
      <c r="DI551">
        <v>0</v>
      </c>
      <c r="DJ551">
        <v>0</v>
      </c>
      <c r="DK551">
        <v>1</v>
      </c>
      <c r="DL551">
        <v>0</v>
      </c>
      <c r="DM551">
        <v>0</v>
      </c>
      <c r="DN551">
        <v>0</v>
      </c>
      <c r="DO551">
        <v>0</v>
      </c>
      <c r="DP551">
        <v>1</v>
      </c>
      <c r="DQ551">
        <v>0</v>
      </c>
      <c r="DR551">
        <v>0</v>
      </c>
      <c r="DS551">
        <v>0</v>
      </c>
    </row>
    <row r="552" spans="1:123" x14ac:dyDescent="0.25">
      <c r="A552" t="str">
        <f>"11/29/2023 20:22:43.055"</f>
        <v>11/29/2023 20:22:43.055</v>
      </c>
      <c r="C552" t="str">
        <f t="shared" si="68"/>
        <v>FFDF53C0</v>
      </c>
      <c r="D552" t="s">
        <v>123</v>
      </c>
      <c r="E552">
        <v>1</v>
      </c>
      <c r="F552">
        <v>1001</v>
      </c>
      <c r="G552" t="s">
        <v>134</v>
      </c>
      <c r="J552" t="s">
        <v>125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 t="shared" si="69"/>
        <v>20:22:42.578</v>
      </c>
      <c r="T552" t="str">
        <f t="shared" si="69"/>
        <v>20:22:42.578</v>
      </c>
      <c r="U552" t="str">
        <f t="shared" si="63"/>
        <v>AA0632</v>
      </c>
      <c r="V552">
        <v>0</v>
      </c>
      <c r="W552">
        <v>0</v>
      </c>
      <c r="X552">
        <v>2</v>
      </c>
      <c r="Y552">
        <v>0</v>
      </c>
      <c r="AA552">
        <v>0</v>
      </c>
      <c r="AB552">
        <v>9</v>
      </c>
      <c r="AC552">
        <v>3</v>
      </c>
      <c r="AD552">
        <v>0</v>
      </c>
      <c r="AE552">
        <v>10</v>
      </c>
      <c r="AF552" t="s">
        <v>126</v>
      </c>
      <c r="AG552">
        <v>0</v>
      </c>
      <c r="AH552">
        <v>0</v>
      </c>
      <c r="AI552">
        <v>2</v>
      </c>
      <c r="AJ552">
        <v>0</v>
      </c>
      <c r="AK552" t="s">
        <v>408</v>
      </c>
      <c r="AL552">
        <v>31.938735999999999</v>
      </c>
      <c r="AM552" t="s">
        <v>409</v>
      </c>
      <c r="AN552">
        <v>-101.081278</v>
      </c>
      <c r="AQ552" t="s">
        <v>129</v>
      </c>
      <c r="AR552">
        <v>81</v>
      </c>
      <c r="AS552">
        <v>-49</v>
      </c>
      <c r="AT552">
        <v>0</v>
      </c>
      <c r="BB552" t="str">
        <f t="shared" si="64"/>
        <v>1200</v>
      </c>
      <c r="BC552">
        <v>1</v>
      </c>
      <c r="BD552" t="str">
        <f t="shared" si="66"/>
        <v xml:space="preserve">N745MB  </v>
      </c>
      <c r="BE552">
        <v>1</v>
      </c>
      <c r="BG552">
        <v>0</v>
      </c>
      <c r="BH552">
        <v>0</v>
      </c>
      <c r="BI552">
        <v>0</v>
      </c>
      <c r="BL552" t="s">
        <v>130</v>
      </c>
      <c r="BM552">
        <v>1</v>
      </c>
      <c r="BN552">
        <v>0</v>
      </c>
      <c r="BO552">
        <v>0</v>
      </c>
      <c r="BP552">
        <v>0</v>
      </c>
      <c r="BT552">
        <v>0</v>
      </c>
      <c r="BU552">
        <v>0</v>
      </c>
      <c r="CE552" t="str">
        <f>"20:22:42.585"</f>
        <v>20:22:42.585</v>
      </c>
      <c r="CF552">
        <v>585493610</v>
      </c>
      <c r="CS552">
        <v>0</v>
      </c>
      <c r="CT552">
        <v>2</v>
      </c>
      <c r="CU552">
        <v>0</v>
      </c>
      <c r="CV552">
        <v>2</v>
      </c>
      <c r="CW552">
        <v>0</v>
      </c>
      <c r="CX552">
        <v>2</v>
      </c>
      <c r="CY552">
        <v>7</v>
      </c>
      <c r="CZ552" t="s">
        <v>131</v>
      </c>
      <c r="DA552">
        <v>116</v>
      </c>
      <c r="DB552">
        <v>0</v>
      </c>
      <c r="DC552" t="s">
        <v>132</v>
      </c>
      <c r="DD552" t="s">
        <v>133</v>
      </c>
      <c r="DG552">
        <v>14508355</v>
      </c>
      <c r="DI552">
        <v>0</v>
      </c>
      <c r="DJ552">
        <v>0</v>
      </c>
      <c r="DK552">
        <v>1</v>
      </c>
      <c r="DL552">
        <v>0</v>
      </c>
      <c r="DM552">
        <v>0</v>
      </c>
      <c r="DN552">
        <v>0</v>
      </c>
      <c r="DO552">
        <v>0</v>
      </c>
      <c r="DP552">
        <v>1</v>
      </c>
      <c r="DQ552">
        <v>0</v>
      </c>
      <c r="DR552">
        <v>0</v>
      </c>
      <c r="DS552">
        <v>0</v>
      </c>
    </row>
    <row r="553" spans="1:123" x14ac:dyDescent="0.25">
      <c r="A553" t="str">
        <f>"11/29/2023 20:22:43.055"</f>
        <v>11/29/2023 20:22:43.055</v>
      </c>
      <c r="C553" t="str">
        <f t="shared" si="68"/>
        <v>FFDF53C0</v>
      </c>
      <c r="D553" t="s">
        <v>138</v>
      </c>
      <c r="E553">
        <v>3</v>
      </c>
      <c r="H553">
        <v>160</v>
      </c>
      <c r="I553" t="s">
        <v>124</v>
      </c>
      <c r="J553" t="s">
        <v>139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 t="shared" si="69"/>
        <v>20:22:42.578</v>
      </c>
      <c r="T553" t="str">
        <f t="shared" si="69"/>
        <v>20:22:42.578</v>
      </c>
      <c r="U553" t="str">
        <f t="shared" si="63"/>
        <v>AA0632</v>
      </c>
      <c r="V553">
        <v>0</v>
      </c>
      <c r="W553">
        <v>0</v>
      </c>
      <c r="X553">
        <v>2</v>
      </c>
      <c r="Y553">
        <v>0</v>
      </c>
      <c r="AA553">
        <v>0</v>
      </c>
      <c r="AB553">
        <v>9</v>
      </c>
      <c r="AC553">
        <v>3</v>
      </c>
      <c r="AD553">
        <v>0</v>
      </c>
      <c r="AE553">
        <v>10</v>
      </c>
      <c r="AF553" t="s">
        <v>126</v>
      </c>
      <c r="AG553">
        <v>0</v>
      </c>
      <c r="AH553">
        <v>0</v>
      </c>
      <c r="AI553">
        <v>2</v>
      </c>
      <c r="AJ553">
        <v>0</v>
      </c>
      <c r="AK553" t="s">
        <v>408</v>
      </c>
      <c r="AL553">
        <v>31.938735999999999</v>
      </c>
      <c r="AM553" t="s">
        <v>409</v>
      </c>
      <c r="AN553">
        <v>-101.081278</v>
      </c>
      <c r="AQ553" t="s">
        <v>129</v>
      </c>
      <c r="AR553">
        <v>81</v>
      </c>
      <c r="AS553">
        <v>-49</v>
      </c>
      <c r="AT553">
        <v>0</v>
      </c>
      <c r="BB553" t="str">
        <f t="shared" si="64"/>
        <v>1200</v>
      </c>
      <c r="BC553">
        <v>1</v>
      </c>
      <c r="BD553" t="str">
        <f t="shared" si="66"/>
        <v xml:space="preserve">N745MB  </v>
      </c>
      <c r="BE553">
        <v>1</v>
      </c>
      <c r="BG553">
        <v>0</v>
      </c>
      <c r="BH553">
        <v>0</v>
      </c>
      <c r="BI553">
        <v>0</v>
      </c>
      <c r="BL553" t="s">
        <v>130</v>
      </c>
      <c r="BM553">
        <v>1</v>
      </c>
      <c r="BN553">
        <v>0</v>
      </c>
      <c r="BO553">
        <v>0</v>
      </c>
      <c r="BP553">
        <v>0</v>
      </c>
      <c r="BT553">
        <v>0</v>
      </c>
      <c r="BU553">
        <v>0</v>
      </c>
      <c r="CE553" t="str">
        <f>"20:22:42.585"</f>
        <v>20:22:42.585</v>
      </c>
      <c r="CF553">
        <v>585493610</v>
      </c>
      <c r="CS553">
        <v>0</v>
      </c>
      <c r="CT553">
        <v>2</v>
      </c>
      <c r="CU553">
        <v>0</v>
      </c>
      <c r="CV553">
        <v>2</v>
      </c>
      <c r="CW553">
        <v>0</v>
      </c>
      <c r="CX553">
        <v>2</v>
      </c>
      <c r="CY553">
        <v>7</v>
      </c>
      <c r="CZ553" t="s">
        <v>131</v>
      </c>
      <c r="DA553">
        <v>116</v>
      </c>
      <c r="DB553">
        <v>0</v>
      </c>
      <c r="DC553" t="s">
        <v>132</v>
      </c>
      <c r="DD553" t="s">
        <v>133</v>
      </c>
      <c r="DG553">
        <v>14508355</v>
      </c>
      <c r="DI553">
        <v>0</v>
      </c>
      <c r="DJ553">
        <v>0</v>
      </c>
      <c r="DK553">
        <v>1</v>
      </c>
      <c r="DL553">
        <v>0</v>
      </c>
      <c r="DM553">
        <v>0</v>
      </c>
      <c r="DN553">
        <v>0</v>
      </c>
      <c r="DO553">
        <v>0</v>
      </c>
      <c r="DP553">
        <v>1</v>
      </c>
      <c r="DQ553">
        <v>0</v>
      </c>
      <c r="DR553">
        <v>0</v>
      </c>
      <c r="DS553">
        <v>0</v>
      </c>
    </row>
    <row r="554" spans="1:123" x14ac:dyDescent="0.25">
      <c r="A554" t="str">
        <f>"11/29/2023 20:22:45.445"</f>
        <v>11/29/2023 20:22:45.445</v>
      </c>
      <c r="C554" t="str">
        <f t="shared" si="68"/>
        <v>FFDF53C0</v>
      </c>
      <c r="D554" t="s">
        <v>123</v>
      </c>
      <c r="E554">
        <v>14</v>
      </c>
      <c r="F554">
        <v>1014</v>
      </c>
      <c r="G554" t="s">
        <v>124</v>
      </c>
      <c r="J554" t="s">
        <v>125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"20:22:45.000"</f>
        <v>20:22:45.000</v>
      </c>
      <c r="T554" t="str">
        <f>"20:22:44.500"</f>
        <v>20:22:44.500</v>
      </c>
      <c r="U554" t="str">
        <f t="shared" si="63"/>
        <v>AA0632</v>
      </c>
      <c r="V554">
        <v>0</v>
      </c>
      <c r="W554">
        <v>0</v>
      </c>
      <c r="X554">
        <v>2</v>
      </c>
      <c r="Y554">
        <v>0</v>
      </c>
      <c r="AA554">
        <v>0</v>
      </c>
      <c r="AB554">
        <v>9</v>
      </c>
      <c r="AC554">
        <v>3</v>
      </c>
      <c r="AD554">
        <v>0</v>
      </c>
      <c r="AE554">
        <v>10</v>
      </c>
      <c r="AF554" t="s">
        <v>126</v>
      </c>
      <c r="AG554">
        <v>0</v>
      </c>
      <c r="AH554">
        <v>0</v>
      </c>
      <c r="AI554">
        <v>2</v>
      </c>
      <c r="AJ554">
        <v>0</v>
      </c>
      <c r="AK554" t="s">
        <v>410</v>
      </c>
      <c r="AL554">
        <v>31.938179000000002</v>
      </c>
      <c r="AM554" t="s">
        <v>411</v>
      </c>
      <c r="AN554">
        <v>-101.08027</v>
      </c>
      <c r="AQ554" t="s">
        <v>129</v>
      </c>
      <c r="AR554">
        <v>80</v>
      </c>
      <c r="AS554">
        <v>-50</v>
      </c>
      <c r="AT554">
        <v>64</v>
      </c>
      <c r="BB554" t="str">
        <f t="shared" si="64"/>
        <v>1200</v>
      </c>
      <c r="BC554">
        <v>1</v>
      </c>
      <c r="BD554" t="str">
        <f t="shared" si="66"/>
        <v xml:space="preserve">N745MB  </v>
      </c>
      <c r="BE554">
        <v>1</v>
      </c>
      <c r="BG554">
        <v>0</v>
      </c>
      <c r="BH554">
        <v>0</v>
      </c>
      <c r="BI554">
        <v>0</v>
      </c>
      <c r="BL554" t="s">
        <v>130</v>
      </c>
      <c r="BM554">
        <v>1</v>
      </c>
      <c r="BN554">
        <v>0</v>
      </c>
      <c r="BO554">
        <v>0</v>
      </c>
      <c r="BP554">
        <v>0</v>
      </c>
      <c r="BT554">
        <v>0</v>
      </c>
      <c r="BU554">
        <v>0</v>
      </c>
      <c r="CE554" t="str">
        <f>"20:22:45.005"</f>
        <v>20:22:45.005</v>
      </c>
      <c r="CF554">
        <v>5331152</v>
      </c>
      <c r="CS554">
        <v>0</v>
      </c>
      <c r="CT554">
        <v>2</v>
      </c>
      <c r="CU554">
        <v>0</v>
      </c>
      <c r="CV554">
        <v>2</v>
      </c>
      <c r="CW554">
        <v>0</v>
      </c>
      <c r="CX554">
        <v>1</v>
      </c>
      <c r="CY554">
        <v>7</v>
      </c>
      <c r="CZ554" t="s">
        <v>131</v>
      </c>
      <c r="DA554">
        <v>116</v>
      </c>
      <c r="DB554">
        <v>3</v>
      </c>
      <c r="DC554" t="s">
        <v>132</v>
      </c>
      <c r="DD554" t="s">
        <v>133</v>
      </c>
      <c r="DG554">
        <v>8308288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1</v>
      </c>
      <c r="DQ554">
        <v>0</v>
      </c>
      <c r="DR554">
        <v>0</v>
      </c>
      <c r="DS554">
        <v>0</v>
      </c>
    </row>
    <row r="555" spans="1:123" x14ac:dyDescent="0.25">
      <c r="A555" t="str">
        <f>"11/29/2023 20:22:46.352"</f>
        <v>11/29/2023 20:22:46.352</v>
      </c>
      <c r="C555" t="str">
        <f t="shared" si="68"/>
        <v>FFDF53C0</v>
      </c>
      <c r="D555" t="s">
        <v>138</v>
      </c>
      <c r="E555">
        <v>3</v>
      </c>
      <c r="H555">
        <v>160</v>
      </c>
      <c r="I555" t="s">
        <v>124</v>
      </c>
      <c r="J555" t="s">
        <v>139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 t="shared" ref="S555:T558" si="70">"20:22:46.008"</f>
        <v>20:22:46.008</v>
      </c>
      <c r="T555" t="str">
        <f t="shared" si="70"/>
        <v>20:22:46.008</v>
      </c>
      <c r="U555" t="str">
        <f t="shared" si="63"/>
        <v>AA0632</v>
      </c>
      <c r="V555">
        <v>0</v>
      </c>
      <c r="W555">
        <v>0</v>
      </c>
      <c r="X555">
        <v>2</v>
      </c>
      <c r="Y555">
        <v>0</v>
      </c>
      <c r="AA555">
        <v>0</v>
      </c>
      <c r="AB555">
        <v>9</v>
      </c>
      <c r="AC555">
        <v>3</v>
      </c>
      <c r="AD555">
        <v>0</v>
      </c>
      <c r="AE555">
        <v>10</v>
      </c>
      <c r="AF555" t="s">
        <v>126</v>
      </c>
      <c r="AG555">
        <v>0</v>
      </c>
      <c r="AH555">
        <v>0</v>
      </c>
      <c r="AI555">
        <v>2</v>
      </c>
      <c r="AJ555">
        <v>0</v>
      </c>
      <c r="AK555" t="s">
        <v>412</v>
      </c>
      <c r="AL555">
        <v>31.937943000000001</v>
      </c>
      <c r="AM555" t="s">
        <v>413</v>
      </c>
      <c r="AN555">
        <v>-101.079819</v>
      </c>
      <c r="AQ555" t="s">
        <v>129</v>
      </c>
      <c r="AR555">
        <v>80</v>
      </c>
      <c r="AS555">
        <v>-51</v>
      </c>
      <c r="AT555">
        <v>-256</v>
      </c>
      <c r="BB555" t="str">
        <f t="shared" si="64"/>
        <v>1200</v>
      </c>
      <c r="BC555">
        <v>1</v>
      </c>
      <c r="BD555" t="str">
        <f t="shared" si="66"/>
        <v xml:space="preserve">N745MB  </v>
      </c>
      <c r="BE555">
        <v>1</v>
      </c>
      <c r="BG555">
        <v>0</v>
      </c>
      <c r="BH555">
        <v>0</v>
      </c>
      <c r="BI555">
        <v>0</v>
      </c>
      <c r="BL555" t="s">
        <v>130</v>
      </c>
      <c r="BM555">
        <v>1</v>
      </c>
      <c r="BN555">
        <v>0</v>
      </c>
      <c r="BO555">
        <v>0</v>
      </c>
      <c r="BP555">
        <v>0</v>
      </c>
      <c r="BT555">
        <v>0</v>
      </c>
      <c r="BU555">
        <v>0</v>
      </c>
      <c r="CE555" t="str">
        <f>"20:22:46.013"</f>
        <v>20:22:46.013</v>
      </c>
      <c r="CF555">
        <v>13262831</v>
      </c>
      <c r="CS555">
        <v>0</v>
      </c>
      <c r="CT555">
        <v>2</v>
      </c>
      <c r="CU555">
        <v>0</v>
      </c>
      <c r="CV555">
        <v>2</v>
      </c>
      <c r="CW555">
        <v>0</v>
      </c>
      <c r="CX555">
        <v>1</v>
      </c>
      <c r="CY555">
        <v>7</v>
      </c>
      <c r="CZ555" t="s">
        <v>131</v>
      </c>
      <c r="DA555">
        <v>116</v>
      </c>
      <c r="DB555">
        <v>3</v>
      </c>
      <c r="DC555" t="s">
        <v>132</v>
      </c>
      <c r="DD555" t="s">
        <v>133</v>
      </c>
      <c r="DG555">
        <v>8308809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1</v>
      </c>
      <c r="DQ555">
        <v>0</v>
      </c>
      <c r="DR555">
        <v>0</v>
      </c>
      <c r="DS555">
        <v>0</v>
      </c>
    </row>
    <row r="556" spans="1:123" x14ac:dyDescent="0.25">
      <c r="A556" t="str">
        <f>"11/29/2023 20:22:46.399"</f>
        <v>11/29/2023 20:22:46.399</v>
      </c>
      <c r="C556" t="str">
        <f t="shared" si="68"/>
        <v>FFDF53C0</v>
      </c>
      <c r="D556" t="s">
        <v>123</v>
      </c>
      <c r="E556">
        <v>14</v>
      </c>
      <c r="F556">
        <v>1014</v>
      </c>
      <c r="G556" t="s">
        <v>124</v>
      </c>
      <c r="J556" t="s">
        <v>125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 t="shared" si="70"/>
        <v>20:22:46.008</v>
      </c>
      <c r="T556" t="str">
        <f t="shared" si="70"/>
        <v>20:22:46.008</v>
      </c>
      <c r="U556" t="str">
        <f t="shared" si="63"/>
        <v>AA0632</v>
      </c>
      <c r="V556">
        <v>0</v>
      </c>
      <c r="W556">
        <v>0</v>
      </c>
      <c r="X556">
        <v>2</v>
      </c>
      <c r="Y556">
        <v>0</v>
      </c>
      <c r="AA556">
        <v>0</v>
      </c>
      <c r="AB556">
        <v>9</v>
      </c>
      <c r="AC556">
        <v>3</v>
      </c>
      <c r="AD556">
        <v>0</v>
      </c>
      <c r="AE556">
        <v>10</v>
      </c>
      <c r="AF556" t="s">
        <v>126</v>
      </c>
      <c r="AG556">
        <v>0</v>
      </c>
      <c r="AH556">
        <v>0</v>
      </c>
      <c r="AI556">
        <v>2</v>
      </c>
      <c r="AJ556">
        <v>0</v>
      </c>
      <c r="AK556" t="s">
        <v>412</v>
      </c>
      <c r="AL556">
        <v>31.937943000000001</v>
      </c>
      <c r="AM556" t="s">
        <v>413</v>
      </c>
      <c r="AN556">
        <v>-101.079819</v>
      </c>
      <c r="AQ556" t="s">
        <v>129</v>
      </c>
      <c r="AR556">
        <v>80</v>
      </c>
      <c r="AS556">
        <v>-51</v>
      </c>
      <c r="AT556">
        <v>-256</v>
      </c>
      <c r="BB556" t="str">
        <f t="shared" si="64"/>
        <v>1200</v>
      </c>
      <c r="BC556">
        <v>1</v>
      </c>
      <c r="BD556" t="str">
        <f t="shared" si="66"/>
        <v xml:space="preserve">N745MB  </v>
      </c>
      <c r="BE556">
        <v>1</v>
      </c>
      <c r="BG556">
        <v>0</v>
      </c>
      <c r="BH556">
        <v>0</v>
      </c>
      <c r="BI556">
        <v>0</v>
      </c>
      <c r="BL556" t="s">
        <v>130</v>
      </c>
      <c r="BM556">
        <v>1</v>
      </c>
      <c r="BN556">
        <v>0</v>
      </c>
      <c r="BO556">
        <v>0</v>
      </c>
      <c r="BP556">
        <v>0</v>
      </c>
      <c r="BT556">
        <v>0</v>
      </c>
      <c r="BU556">
        <v>0</v>
      </c>
      <c r="CE556" t="str">
        <f>"20:22:46.013"</f>
        <v>20:22:46.013</v>
      </c>
      <c r="CF556">
        <v>13262831</v>
      </c>
      <c r="CS556">
        <v>0</v>
      </c>
      <c r="CT556">
        <v>2</v>
      </c>
      <c r="CU556">
        <v>0</v>
      </c>
      <c r="CV556">
        <v>2</v>
      </c>
      <c r="CW556">
        <v>0</v>
      </c>
      <c r="CX556">
        <v>1</v>
      </c>
      <c r="CY556">
        <v>7</v>
      </c>
      <c r="CZ556" t="s">
        <v>131</v>
      </c>
      <c r="DA556">
        <v>116</v>
      </c>
      <c r="DB556">
        <v>3</v>
      </c>
      <c r="DC556" t="s">
        <v>132</v>
      </c>
      <c r="DD556" t="s">
        <v>133</v>
      </c>
      <c r="DG556">
        <v>8308809</v>
      </c>
      <c r="DI556">
        <v>0</v>
      </c>
      <c r="DJ556">
        <v>0</v>
      </c>
      <c r="DK556">
        <v>1</v>
      </c>
      <c r="DL556">
        <v>0</v>
      </c>
      <c r="DM556">
        <v>0</v>
      </c>
      <c r="DN556">
        <v>0</v>
      </c>
      <c r="DO556">
        <v>0</v>
      </c>
      <c r="DP556">
        <v>1</v>
      </c>
      <c r="DQ556">
        <v>0</v>
      </c>
      <c r="DR556">
        <v>0</v>
      </c>
      <c r="DS556">
        <v>0</v>
      </c>
    </row>
    <row r="557" spans="1:123" x14ac:dyDescent="0.25">
      <c r="A557" t="str">
        <f>"11/29/2023 20:22:46.399"</f>
        <v>11/29/2023 20:22:46.399</v>
      </c>
      <c r="C557" t="str">
        <f t="shared" si="68"/>
        <v>FFDF53C0</v>
      </c>
      <c r="D557" t="s">
        <v>135</v>
      </c>
      <c r="E557">
        <v>31</v>
      </c>
      <c r="H557">
        <v>285</v>
      </c>
      <c r="I557" t="s">
        <v>136</v>
      </c>
      <c r="J557" t="s">
        <v>137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 t="shared" si="70"/>
        <v>20:22:46.008</v>
      </c>
      <c r="T557" t="str">
        <f t="shared" si="70"/>
        <v>20:22:46.008</v>
      </c>
      <c r="U557" t="str">
        <f t="shared" si="63"/>
        <v>AA0632</v>
      </c>
      <c r="V557">
        <v>0</v>
      </c>
      <c r="W557">
        <v>0</v>
      </c>
      <c r="X557">
        <v>2</v>
      </c>
      <c r="Y557">
        <v>0</v>
      </c>
      <c r="AA557">
        <v>0</v>
      </c>
      <c r="AB557">
        <v>9</v>
      </c>
      <c r="AC557">
        <v>3</v>
      </c>
      <c r="AD557">
        <v>0</v>
      </c>
      <c r="AE557">
        <v>10</v>
      </c>
      <c r="AF557" t="s">
        <v>126</v>
      </c>
      <c r="AG557">
        <v>0</v>
      </c>
      <c r="AH557">
        <v>0</v>
      </c>
      <c r="AI557">
        <v>2</v>
      </c>
      <c r="AJ557">
        <v>0</v>
      </c>
      <c r="AK557" t="s">
        <v>412</v>
      </c>
      <c r="AL557">
        <v>31.937943000000001</v>
      </c>
      <c r="AM557" t="s">
        <v>413</v>
      </c>
      <c r="AN557">
        <v>-101.079819</v>
      </c>
      <c r="AQ557" t="s">
        <v>129</v>
      </c>
      <c r="AR557">
        <v>80</v>
      </c>
      <c r="AS557">
        <v>-51</v>
      </c>
      <c r="AT557">
        <v>-256</v>
      </c>
      <c r="BB557" t="str">
        <f t="shared" si="64"/>
        <v>1200</v>
      </c>
      <c r="BC557">
        <v>1</v>
      </c>
      <c r="BD557" t="str">
        <f t="shared" si="66"/>
        <v xml:space="preserve">N745MB  </v>
      </c>
      <c r="BE557">
        <v>1</v>
      </c>
      <c r="BG557">
        <v>0</v>
      </c>
      <c r="BH557">
        <v>0</v>
      </c>
      <c r="BI557">
        <v>0</v>
      </c>
      <c r="BL557" t="s">
        <v>130</v>
      </c>
      <c r="BM557">
        <v>1</v>
      </c>
      <c r="BN557">
        <v>0</v>
      </c>
      <c r="BO557">
        <v>0</v>
      </c>
      <c r="BP557">
        <v>0</v>
      </c>
      <c r="BT557">
        <v>0</v>
      </c>
      <c r="BU557">
        <v>0</v>
      </c>
      <c r="CE557" t="str">
        <f>"20:22:46.013"</f>
        <v>20:22:46.013</v>
      </c>
      <c r="CF557">
        <v>13262831</v>
      </c>
      <c r="CS557">
        <v>0</v>
      </c>
      <c r="CT557">
        <v>2</v>
      </c>
      <c r="CU557">
        <v>0</v>
      </c>
      <c r="CV557">
        <v>2</v>
      </c>
      <c r="CW557">
        <v>0</v>
      </c>
      <c r="CX557">
        <v>1</v>
      </c>
      <c r="CY557">
        <v>7</v>
      </c>
      <c r="CZ557" t="s">
        <v>131</v>
      </c>
      <c r="DA557">
        <v>116</v>
      </c>
      <c r="DB557">
        <v>3</v>
      </c>
      <c r="DC557" t="s">
        <v>132</v>
      </c>
      <c r="DD557" t="s">
        <v>133</v>
      </c>
      <c r="DG557">
        <v>8308809</v>
      </c>
      <c r="DI557">
        <v>0</v>
      </c>
      <c r="DJ557">
        <v>0</v>
      </c>
      <c r="DK557">
        <v>1</v>
      </c>
      <c r="DL557">
        <v>0</v>
      </c>
      <c r="DM557">
        <v>0</v>
      </c>
      <c r="DN557">
        <v>0</v>
      </c>
      <c r="DO557">
        <v>0</v>
      </c>
      <c r="DP557">
        <v>1</v>
      </c>
      <c r="DQ557">
        <v>0</v>
      </c>
      <c r="DR557">
        <v>0</v>
      </c>
      <c r="DS557">
        <v>0</v>
      </c>
    </row>
    <row r="558" spans="1:123" x14ac:dyDescent="0.25">
      <c r="A558" t="str">
        <f>"11/29/2023 20:22:46.399"</f>
        <v>11/29/2023 20:22:46.399</v>
      </c>
      <c r="C558" t="str">
        <f t="shared" si="68"/>
        <v>FFDF53C0</v>
      </c>
      <c r="D558" t="s">
        <v>123</v>
      </c>
      <c r="E558">
        <v>1</v>
      </c>
      <c r="F558">
        <v>1001</v>
      </c>
      <c r="G558" t="s">
        <v>134</v>
      </c>
      <c r="J558" t="s">
        <v>125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 t="shared" si="70"/>
        <v>20:22:46.008</v>
      </c>
      <c r="T558" t="str">
        <f t="shared" si="70"/>
        <v>20:22:46.008</v>
      </c>
      <c r="U558" t="str">
        <f t="shared" si="63"/>
        <v>AA0632</v>
      </c>
      <c r="V558">
        <v>0</v>
      </c>
      <c r="W558">
        <v>0</v>
      </c>
      <c r="X558">
        <v>2</v>
      </c>
      <c r="Y558">
        <v>0</v>
      </c>
      <c r="AA558">
        <v>0</v>
      </c>
      <c r="AB558">
        <v>9</v>
      </c>
      <c r="AC558">
        <v>3</v>
      </c>
      <c r="AD558">
        <v>0</v>
      </c>
      <c r="AE558">
        <v>10</v>
      </c>
      <c r="AF558" t="s">
        <v>126</v>
      </c>
      <c r="AG558">
        <v>0</v>
      </c>
      <c r="AH558">
        <v>0</v>
      </c>
      <c r="AI558">
        <v>2</v>
      </c>
      <c r="AJ558">
        <v>0</v>
      </c>
      <c r="AK558" t="s">
        <v>412</v>
      </c>
      <c r="AL558">
        <v>31.937943000000001</v>
      </c>
      <c r="AM558" t="s">
        <v>413</v>
      </c>
      <c r="AN558">
        <v>-101.079819</v>
      </c>
      <c r="AQ558" t="s">
        <v>129</v>
      </c>
      <c r="AR558">
        <v>80</v>
      </c>
      <c r="AS558">
        <v>-51</v>
      </c>
      <c r="AT558">
        <v>-256</v>
      </c>
      <c r="BB558" t="str">
        <f t="shared" si="64"/>
        <v>1200</v>
      </c>
      <c r="BC558">
        <v>1</v>
      </c>
      <c r="BD558" t="str">
        <f t="shared" si="66"/>
        <v xml:space="preserve">N745MB  </v>
      </c>
      <c r="BE558">
        <v>1</v>
      </c>
      <c r="BG558">
        <v>0</v>
      </c>
      <c r="BH558">
        <v>0</v>
      </c>
      <c r="BI558">
        <v>0</v>
      </c>
      <c r="BL558" t="s">
        <v>130</v>
      </c>
      <c r="BM558">
        <v>1</v>
      </c>
      <c r="BN558">
        <v>0</v>
      </c>
      <c r="BO558">
        <v>0</v>
      </c>
      <c r="BP558">
        <v>0</v>
      </c>
      <c r="BT558">
        <v>0</v>
      </c>
      <c r="BU558">
        <v>0</v>
      </c>
      <c r="CE558" t="str">
        <f>"20:22:46.013"</f>
        <v>20:22:46.013</v>
      </c>
      <c r="CF558">
        <v>13262831</v>
      </c>
      <c r="CS558">
        <v>0</v>
      </c>
      <c r="CT558">
        <v>2</v>
      </c>
      <c r="CU558">
        <v>0</v>
      </c>
      <c r="CV558">
        <v>2</v>
      </c>
      <c r="CW558">
        <v>0</v>
      </c>
      <c r="CX558">
        <v>1</v>
      </c>
      <c r="CY558">
        <v>7</v>
      </c>
      <c r="CZ558" t="s">
        <v>131</v>
      </c>
      <c r="DA558">
        <v>116</v>
      </c>
      <c r="DB558">
        <v>3</v>
      </c>
      <c r="DC558" t="s">
        <v>132</v>
      </c>
      <c r="DD558" t="s">
        <v>133</v>
      </c>
      <c r="DG558">
        <v>8308809</v>
      </c>
      <c r="DI558">
        <v>0</v>
      </c>
      <c r="DJ558">
        <v>0</v>
      </c>
      <c r="DK558">
        <v>1</v>
      </c>
      <c r="DL558">
        <v>0</v>
      </c>
      <c r="DM558">
        <v>0</v>
      </c>
      <c r="DN558">
        <v>0</v>
      </c>
      <c r="DO558">
        <v>0</v>
      </c>
      <c r="DP558">
        <v>1</v>
      </c>
      <c r="DQ558">
        <v>0</v>
      </c>
      <c r="DR558">
        <v>0</v>
      </c>
      <c r="DS558">
        <v>0</v>
      </c>
    </row>
    <row r="559" spans="1:123" x14ac:dyDescent="0.25">
      <c r="A559" t="str">
        <f>"11/29/2023 20:22:47.852"</f>
        <v>11/29/2023 20:22:47.852</v>
      </c>
      <c r="C559" t="str">
        <f t="shared" si="68"/>
        <v>FFDF53C0</v>
      </c>
      <c r="D559" t="s">
        <v>138</v>
      </c>
      <c r="E559">
        <v>3</v>
      </c>
      <c r="H559">
        <v>160</v>
      </c>
      <c r="I559" t="s">
        <v>124</v>
      </c>
      <c r="J559" t="s">
        <v>139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"20:22:47.547"</f>
        <v>20:22:47.547</v>
      </c>
      <c r="T559" t="str">
        <f>"20:22:47.147"</f>
        <v>20:22:47.147</v>
      </c>
      <c r="U559" t="str">
        <f t="shared" si="63"/>
        <v>AA0632</v>
      </c>
      <c r="V559">
        <v>0</v>
      </c>
      <c r="W559">
        <v>0</v>
      </c>
      <c r="X559">
        <v>2</v>
      </c>
      <c r="Y559">
        <v>0</v>
      </c>
      <c r="AA559">
        <v>0</v>
      </c>
      <c r="AB559">
        <v>9</v>
      </c>
      <c r="AC559">
        <v>3</v>
      </c>
      <c r="AD559">
        <v>0</v>
      </c>
      <c r="AE559">
        <v>10</v>
      </c>
      <c r="AF559" t="s">
        <v>126</v>
      </c>
      <c r="AG559">
        <v>0</v>
      </c>
      <c r="AH559">
        <v>0</v>
      </c>
      <c r="AI559">
        <v>2</v>
      </c>
      <c r="AJ559">
        <v>0</v>
      </c>
      <c r="AK559" t="s">
        <v>414</v>
      </c>
      <c r="AL559">
        <v>31.937577999999998</v>
      </c>
      <c r="AM559" t="s">
        <v>415</v>
      </c>
      <c r="AN559">
        <v>-101.079154</v>
      </c>
      <c r="AQ559" t="s">
        <v>129</v>
      </c>
      <c r="AR559">
        <v>80</v>
      </c>
      <c r="AS559">
        <v>-51</v>
      </c>
      <c r="AT559">
        <v>0</v>
      </c>
      <c r="BB559" t="str">
        <f t="shared" si="64"/>
        <v>1200</v>
      </c>
      <c r="BC559">
        <v>1</v>
      </c>
      <c r="BD559" t="str">
        <f t="shared" si="66"/>
        <v xml:space="preserve">N745MB  </v>
      </c>
      <c r="BE559">
        <v>1</v>
      </c>
      <c r="BG559">
        <v>0</v>
      </c>
      <c r="BH559">
        <v>0</v>
      </c>
      <c r="BI559">
        <v>0</v>
      </c>
      <c r="BL559" t="s">
        <v>130</v>
      </c>
      <c r="BM559">
        <v>1</v>
      </c>
      <c r="BN559">
        <v>0</v>
      </c>
      <c r="BO559">
        <v>0</v>
      </c>
      <c r="BP559">
        <v>0</v>
      </c>
      <c r="BT559">
        <v>0</v>
      </c>
      <c r="BU559">
        <v>0</v>
      </c>
      <c r="CE559" t="str">
        <f>"20:22:47.553"</f>
        <v>20:22:47.553</v>
      </c>
      <c r="CF559">
        <v>553179655</v>
      </c>
      <c r="CS559">
        <v>0</v>
      </c>
      <c r="CT559">
        <v>2</v>
      </c>
      <c r="CU559">
        <v>0</v>
      </c>
      <c r="CV559">
        <v>2</v>
      </c>
      <c r="CW559">
        <v>0</v>
      </c>
      <c r="CX559">
        <v>2</v>
      </c>
      <c r="CY559">
        <v>7</v>
      </c>
      <c r="CZ559" t="s">
        <v>131</v>
      </c>
      <c r="DA559">
        <v>116</v>
      </c>
      <c r="DB559">
        <v>3</v>
      </c>
      <c r="DC559" t="s">
        <v>132</v>
      </c>
      <c r="DD559" t="s">
        <v>133</v>
      </c>
      <c r="DG559">
        <v>8309699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1</v>
      </c>
      <c r="DQ559">
        <v>0</v>
      </c>
      <c r="DR559">
        <v>0</v>
      </c>
      <c r="DS559">
        <v>0</v>
      </c>
    </row>
    <row r="560" spans="1:123" x14ac:dyDescent="0.25">
      <c r="A560" t="str">
        <f>"11/29/2023 20:22:47.852"</f>
        <v>11/29/2023 20:22:47.852</v>
      </c>
      <c r="C560" t="str">
        <f t="shared" si="68"/>
        <v>FFDF53C0</v>
      </c>
      <c r="D560" t="s">
        <v>123</v>
      </c>
      <c r="E560">
        <v>14</v>
      </c>
      <c r="F560">
        <v>1014</v>
      </c>
      <c r="G560" t="s">
        <v>124</v>
      </c>
      <c r="J560" t="s">
        <v>125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"20:22:47.547"</f>
        <v>20:22:47.547</v>
      </c>
      <c r="T560" t="str">
        <f>"20:22:47.147"</f>
        <v>20:22:47.147</v>
      </c>
      <c r="U560" t="str">
        <f t="shared" si="63"/>
        <v>AA0632</v>
      </c>
      <c r="V560">
        <v>0</v>
      </c>
      <c r="W560">
        <v>0</v>
      </c>
      <c r="X560">
        <v>2</v>
      </c>
      <c r="Y560">
        <v>0</v>
      </c>
      <c r="AA560">
        <v>0</v>
      </c>
      <c r="AB560">
        <v>9</v>
      </c>
      <c r="AC560">
        <v>3</v>
      </c>
      <c r="AD560">
        <v>0</v>
      </c>
      <c r="AE560">
        <v>10</v>
      </c>
      <c r="AF560" t="s">
        <v>126</v>
      </c>
      <c r="AG560">
        <v>0</v>
      </c>
      <c r="AH560">
        <v>0</v>
      </c>
      <c r="AI560">
        <v>2</v>
      </c>
      <c r="AJ560">
        <v>0</v>
      </c>
      <c r="AK560" t="s">
        <v>414</v>
      </c>
      <c r="AL560">
        <v>31.937577999999998</v>
      </c>
      <c r="AM560" t="s">
        <v>415</v>
      </c>
      <c r="AN560">
        <v>-101.079154</v>
      </c>
      <c r="AQ560" t="s">
        <v>129</v>
      </c>
      <c r="AR560">
        <v>80</v>
      </c>
      <c r="AS560">
        <v>-51</v>
      </c>
      <c r="AT560">
        <v>0</v>
      </c>
      <c r="BB560" t="str">
        <f t="shared" si="64"/>
        <v>1200</v>
      </c>
      <c r="BC560">
        <v>1</v>
      </c>
      <c r="BD560" t="str">
        <f t="shared" si="66"/>
        <v xml:space="preserve">N745MB  </v>
      </c>
      <c r="BE560">
        <v>1</v>
      </c>
      <c r="BG560">
        <v>0</v>
      </c>
      <c r="BH560">
        <v>0</v>
      </c>
      <c r="BI560">
        <v>0</v>
      </c>
      <c r="BL560" t="s">
        <v>130</v>
      </c>
      <c r="BM560">
        <v>1</v>
      </c>
      <c r="BN560">
        <v>0</v>
      </c>
      <c r="BO560">
        <v>0</v>
      </c>
      <c r="BP560">
        <v>0</v>
      </c>
      <c r="BT560">
        <v>0</v>
      </c>
      <c r="BU560">
        <v>0</v>
      </c>
      <c r="CE560" t="str">
        <f>"20:22:47.553"</f>
        <v>20:22:47.553</v>
      </c>
      <c r="CF560">
        <v>553179655</v>
      </c>
      <c r="CS560">
        <v>0</v>
      </c>
      <c r="CT560">
        <v>2</v>
      </c>
      <c r="CU560">
        <v>0</v>
      </c>
      <c r="CV560">
        <v>2</v>
      </c>
      <c r="CW560">
        <v>0</v>
      </c>
      <c r="CX560">
        <v>2</v>
      </c>
      <c r="CY560">
        <v>7</v>
      </c>
      <c r="CZ560" t="s">
        <v>131</v>
      </c>
      <c r="DA560">
        <v>116</v>
      </c>
      <c r="DB560">
        <v>3</v>
      </c>
      <c r="DC560" t="s">
        <v>132</v>
      </c>
      <c r="DD560" t="s">
        <v>133</v>
      </c>
      <c r="DG560">
        <v>8309699</v>
      </c>
      <c r="DI560">
        <v>0</v>
      </c>
      <c r="DJ560">
        <v>0</v>
      </c>
      <c r="DK560">
        <v>1</v>
      </c>
      <c r="DL560">
        <v>0</v>
      </c>
      <c r="DM560">
        <v>0</v>
      </c>
      <c r="DN560">
        <v>0</v>
      </c>
      <c r="DO560">
        <v>0</v>
      </c>
      <c r="DP560">
        <v>1</v>
      </c>
      <c r="DQ560">
        <v>0</v>
      </c>
      <c r="DR560">
        <v>0</v>
      </c>
      <c r="DS560">
        <v>0</v>
      </c>
    </row>
    <row r="561" spans="1:123" x14ac:dyDescent="0.25">
      <c r="A561" t="str">
        <f>"11/29/2023 20:22:47.852"</f>
        <v>11/29/2023 20:22:47.852</v>
      </c>
      <c r="C561" t="str">
        <f t="shared" si="68"/>
        <v>FFDF53C0</v>
      </c>
      <c r="D561" t="s">
        <v>135</v>
      </c>
      <c r="E561">
        <v>31</v>
      </c>
      <c r="H561">
        <v>285</v>
      </c>
      <c r="I561" t="s">
        <v>136</v>
      </c>
      <c r="J561" t="s">
        <v>137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"20:22:47.547"</f>
        <v>20:22:47.547</v>
      </c>
      <c r="T561" t="str">
        <f>"20:22:47.147"</f>
        <v>20:22:47.147</v>
      </c>
      <c r="U561" t="str">
        <f t="shared" si="63"/>
        <v>AA0632</v>
      </c>
      <c r="V561">
        <v>0</v>
      </c>
      <c r="W561">
        <v>0</v>
      </c>
      <c r="X561">
        <v>2</v>
      </c>
      <c r="Y561">
        <v>0</v>
      </c>
      <c r="AA561">
        <v>0</v>
      </c>
      <c r="AB561">
        <v>9</v>
      </c>
      <c r="AC561">
        <v>3</v>
      </c>
      <c r="AD561">
        <v>0</v>
      </c>
      <c r="AE561">
        <v>10</v>
      </c>
      <c r="AF561" t="s">
        <v>126</v>
      </c>
      <c r="AG561">
        <v>0</v>
      </c>
      <c r="AH561">
        <v>0</v>
      </c>
      <c r="AI561">
        <v>2</v>
      </c>
      <c r="AJ561">
        <v>0</v>
      </c>
      <c r="AK561" t="s">
        <v>414</v>
      </c>
      <c r="AL561">
        <v>31.937577999999998</v>
      </c>
      <c r="AM561" t="s">
        <v>415</v>
      </c>
      <c r="AN561">
        <v>-101.079154</v>
      </c>
      <c r="AQ561" t="s">
        <v>129</v>
      </c>
      <c r="AR561">
        <v>80</v>
      </c>
      <c r="AS561">
        <v>-51</v>
      </c>
      <c r="AT561">
        <v>0</v>
      </c>
      <c r="BB561" t="str">
        <f t="shared" si="64"/>
        <v>1200</v>
      </c>
      <c r="BC561">
        <v>1</v>
      </c>
      <c r="BD561" t="str">
        <f t="shared" si="66"/>
        <v xml:space="preserve">N745MB  </v>
      </c>
      <c r="BE561">
        <v>1</v>
      </c>
      <c r="BG561">
        <v>0</v>
      </c>
      <c r="BH561">
        <v>0</v>
      </c>
      <c r="BI561">
        <v>0</v>
      </c>
      <c r="BL561" t="s">
        <v>130</v>
      </c>
      <c r="BM561">
        <v>1</v>
      </c>
      <c r="BN561">
        <v>0</v>
      </c>
      <c r="BO561">
        <v>0</v>
      </c>
      <c r="BP561">
        <v>0</v>
      </c>
      <c r="BT561">
        <v>0</v>
      </c>
      <c r="BU561">
        <v>0</v>
      </c>
      <c r="CE561" t="str">
        <f>"20:22:47.553"</f>
        <v>20:22:47.553</v>
      </c>
      <c r="CF561">
        <v>553179655</v>
      </c>
      <c r="CS561">
        <v>0</v>
      </c>
      <c r="CT561">
        <v>2</v>
      </c>
      <c r="CU561">
        <v>0</v>
      </c>
      <c r="CV561">
        <v>2</v>
      </c>
      <c r="CW561">
        <v>0</v>
      </c>
      <c r="CX561">
        <v>2</v>
      </c>
      <c r="CY561">
        <v>7</v>
      </c>
      <c r="CZ561" t="s">
        <v>131</v>
      </c>
      <c r="DA561">
        <v>116</v>
      </c>
      <c r="DB561">
        <v>3</v>
      </c>
      <c r="DC561" t="s">
        <v>132</v>
      </c>
      <c r="DD561" t="s">
        <v>133</v>
      </c>
      <c r="DG561">
        <v>8309699</v>
      </c>
      <c r="DI561">
        <v>0</v>
      </c>
      <c r="DJ561">
        <v>0</v>
      </c>
      <c r="DK561">
        <v>1</v>
      </c>
      <c r="DL561">
        <v>0</v>
      </c>
      <c r="DM561">
        <v>0</v>
      </c>
      <c r="DN561">
        <v>0</v>
      </c>
      <c r="DO561">
        <v>0</v>
      </c>
      <c r="DP561">
        <v>1</v>
      </c>
      <c r="DQ561">
        <v>0</v>
      </c>
      <c r="DR561">
        <v>0</v>
      </c>
      <c r="DS561">
        <v>0</v>
      </c>
    </row>
    <row r="562" spans="1:123" x14ac:dyDescent="0.25">
      <c r="A562" t="str">
        <f>"11/29/2023 20:22:47.883"</f>
        <v>11/29/2023 20:22:47.883</v>
      </c>
      <c r="C562" t="str">
        <f t="shared" si="68"/>
        <v>FFDF53C0</v>
      </c>
      <c r="D562" t="s">
        <v>123</v>
      </c>
      <c r="E562">
        <v>1</v>
      </c>
      <c r="F562">
        <v>1001</v>
      </c>
      <c r="G562" t="s">
        <v>134</v>
      </c>
      <c r="J562" t="s">
        <v>125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"20:22:47.547"</f>
        <v>20:22:47.547</v>
      </c>
      <c r="T562" t="str">
        <f>"20:22:47.147"</f>
        <v>20:22:47.147</v>
      </c>
      <c r="U562" t="str">
        <f t="shared" si="63"/>
        <v>AA0632</v>
      </c>
      <c r="V562">
        <v>0</v>
      </c>
      <c r="W562">
        <v>0</v>
      </c>
      <c r="X562">
        <v>2</v>
      </c>
      <c r="Y562">
        <v>0</v>
      </c>
      <c r="AA562">
        <v>0</v>
      </c>
      <c r="AB562">
        <v>9</v>
      </c>
      <c r="AC562">
        <v>3</v>
      </c>
      <c r="AD562">
        <v>0</v>
      </c>
      <c r="AE562">
        <v>10</v>
      </c>
      <c r="AF562" t="s">
        <v>126</v>
      </c>
      <c r="AG562">
        <v>0</v>
      </c>
      <c r="AH562">
        <v>0</v>
      </c>
      <c r="AI562">
        <v>2</v>
      </c>
      <c r="AJ562">
        <v>0</v>
      </c>
      <c r="AK562" t="s">
        <v>414</v>
      </c>
      <c r="AL562">
        <v>31.937577999999998</v>
      </c>
      <c r="AM562" t="s">
        <v>415</v>
      </c>
      <c r="AN562">
        <v>-101.079154</v>
      </c>
      <c r="AQ562" t="s">
        <v>129</v>
      </c>
      <c r="AR562">
        <v>80</v>
      </c>
      <c r="AS562">
        <v>-51</v>
      </c>
      <c r="AT562">
        <v>0</v>
      </c>
      <c r="BB562" t="str">
        <f t="shared" si="64"/>
        <v>1200</v>
      </c>
      <c r="BC562">
        <v>1</v>
      </c>
      <c r="BD562" t="str">
        <f t="shared" si="66"/>
        <v xml:space="preserve">N745MB  </v>
      </c>
      <c r="BE562">
        <v>1</v>
      </c>
      <c r="BG562">
        <v>0</v>
      </c>
      <c r="BH562">
        <v>0</v>
      </c>
      <c r="BI562">
        <v>0</v>
      </c>
      <c r="BL562" t="s">
        <v>130</v>
      </c>
      <c r="BM562">
        <v>1</v>
      </c>
      <c r="BN562">
        <v>0</v>
      </c>
      <c r="BO562">
        <v>0</v>
      </c>
      <c r="BP562">
        <v>0</v>
      </c>
      <c r="BT562">
        <v>0</v>
      </c>
      <c r="BU562">
        <v>0</v>
      </c>
      <c r="CE562" t="str">
        <f>"20:22:47.553"</f>
        <v>20:22:47.553</v>
      </c>
      <c r="CF562">
        <v>553179655</v>
      </c>
      <c r="CS562">
        <v>0</v>
      </c>
      <c r="CT562">
        <v>2</v>
      </c>
      <c r="CU562">
        <v>0</v>
      </c>
      <c r="CV562">
        <v>2</v>
      </c>
      <c r="CW562">
        <v>0</v>
      </c>
      <c r="CX562">
        <v>2</v>
      </c>
      <c r="CY562">
        <v>7</v>
      </c>
      <c r="CZ562" t="s">
        <v>131</v>
      </c>
      <c r="DA562">
        <v>116</v>
      </c>
      <c r="DB562">
        <v>3</v>
      </c>
      <c r="DC562" t="s">
        <v>132</v>
      </c>
      <c r="DD562" t="s">
        <v>133</v>
      </c>
      <c r="DG562">
        <v>8309699</v>
      </c>
      <c r="DI562">
        <v>0</v>
      </c>
      <c r="DJ562">
        <v>0</v>
      </c>
      <c r="DK562">
        <v>1</v>
      </c>
      <c r="DL562">
        <v>0</v>
      </c>
      <c r="DM562">
        <v>0</v>
      </c>
      <c r="DN562">
        <v>0</v>
      </c>
      <c r="DO562">
        <v>0</v>
      </c>
      <c r="DP562">
        <v>1</v>
      </c>
      <c r="DQ562">
        <v>0</v>
      </c>
      <c r="DR562">
        <v>0</v>
      </c>
      <c r="DS562">
        <v>0</v>
      </c>
    </row>
    <row r="563" spans="1:123" x14ac:dyDescent="0.25">
      <c r="A563" t="str">
        <f>"11/29/2023 20:22:49.586"</f>
        <v>11/29/2023 20:22:49.586</v>
      </c>
      <c r="C563" t="str">
        <f t="shared" si="68"/>
        <v>FFDF53C0</v>
      </c>
      <c r="D563" t="s">
        <v>123</v>
      </c>
      <c r="E563">
        <v>1</v>
      </c>
      <c r="F563">
        <v>1001</v>
      </c>
      <c r="G563" t="s">
        <v>134</v>
      </c>
      <c r="J563" t="s">
        <v>125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"20:22:49.180"</f>
        <v>20:22:49.180</v>
      </c>
      <c r="T563" t="str">
        <f>"20:22:49.080"</f>
        <v>20:22:49.080</v>
      </c>
      <c r="U563" t="str">
        <f t="shared" si="63"/>
        <v>AA0632</v>
      </c>
      <c r="V563">
        <v>0</v>
      </c>
      <c r="W563">
        <v>0</v>
      </c>
      <c r="X563">
        <v>2</v>
      </c>
      <c r="Y563">
        <v>0</v>
      </c>
      <c r="AA563">
        <v>0</v>
      </c>
      <c r="AB563">
        <v>9</v>
      </c>
      <c r="AC563">
        <v>3</v>
      </c>
      <c r="AD563">
        <v>0</v>
      </c>
      <c r="AE563">
        <v>10</v>
      </c>
      <c r="AF563" t="s">
        <v>126</v>
      </c>
      <c r="AG563">
        <v>0</v>
      </c>
      <c r="AH563">
        <v>0</v>
      </c>
      <c r="AI563">
        <v>2</v>
      </c>
      <c r="AJ563">
        <v>0</v>
      </c>
      <c r="AK563" t="s">
        <v>416</v>
      </c>
      <c r="AL563">
        <v>31.937213</v>
      </c>
      <c r="AM563" t="s">
        <v>417</v>
      </c>
      <c r="AN563">
        <v>-101.078424</v>
      </c>
      <c r="AQ563" t="s">
        <v>129</v>
      </c>
      <c r="AR563">
        <v>81</v>
      </c>
      <c r="AS563">
        <v>-50</v>
      </c>
      <c r="AT563">
        <v>256</v>
      </c>
      <c r="BB563" t="str">
        <f t="shared" si="64"/>
        <v>1200</v>
      </c>
      <c r="BC563">
        <v>1</v>
      </c>
      <c r="BD563" t="str">
        <f t="shared" si="66"/>
        <v xml:space="preserve">N745MB  </v>
      </c>
      <c r="BE563">
        <v>1</v>
      </c>
      <c r="BG563">
        <v>0</v>
      </c>
      <c r="BH563">
        <v>0</v>
      </c>
      <c r="BI563">
        <v>0</v>
      </c>
      <c r="BL563" t="s">
        <v>130</v>
      </c>
      <c r="BM563">
        <v>1</v>
      </c>
      <c r="BN563">
        <v>0</v>
      </c>
      <c r="BO563">
        <v>0</v>
      </c>
      <c r="BP563">
        <v>0</v>
      </c>
      <c r="BT563">
        <v>0</v>
      </c>
      <c r="BU563">
        <v>0</v>
      </c>
      <c r="CE563" t="str">
        <f>"20:22:49.185"</f>
        <v>20:22:49.185</v>
      </c>
      <c r="CF563">
        <v>185045604</v>
      </c>
      <c r="CS563">
        <v>0</v>
      </c>
      <c r="CT563">
        <v>2</v>
      </c>
      <c r="CU563">
        <v>0</v>
      </c>
      <c r="CV563">
        <v>2</v>
      </c>
      <c r="CW563">
        <v>0</v>
      </c>
      <c r="CX563">
        <v>2</v>
      </c>
      <c r="CY563">
        <v>7</v>
      </c>
      <c r="CZ563" t="s">
        <v>131</v>
      </c>
      <c r="DA563">
        <v>116</v>
      </c>
      <c r="DB563">
        <v>3</v>
      </c>
      <c r="DC563" t="s">
        <v>132</v>
      </c>
      <c r="DD563" t="s">
        <v>133</v>
      </c>
      <c r="DG563">
        <v>8310602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1</v>
      </c>
      <c r="DQ563">
        <v>0</v>
      </c>
      <c r="DR563">
        <v>0</v>
      </c>
      <c r="DS563">
        <v>0</v>
      </c>
    </row>
    <row r="564" spans="1:123" x14ac:dyDescent="0.25">
      <c r="A564" t="str">
        <f>"11/29/2023 20:22:49.586"</f>
        <v>11/29/2023 20:22:49.586</v>
      </c>
      <c r="C564" t="str">
        <f t="shared" si="68"/>
        <v>FFDF53C0</v>
      </c>
      <c r="D564" t="s">
        <v>138</v>
      </c>
      <c r="E564">
        <v>3</v>
      </c>
      <c r="H564">
        <v>160</v>
      </c>
      <c r="I564" t="s">
        <v>124</v>
      </c>
      <c r="J564" t="s">
        <v>139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"20:22:49.180"</f>
        <v>20:22:49.180</v>
      </c>
      <c r="T564" t="str">
        <f>"20:22:49.080"</f>
        <v>20:22:49.080</v>
      </c>
      <c r="U564" t="str">
        <f t="shared" si="63"/>
        <v>AA0632</v>
      </c>
      <c r="V564">
        <v>0</v>
      </c>
      <c r="W564">
        <v>0</v>
      </c>
      <c r="X564">
        <v>2</v>
      </c>
      <c r="Y564">
        <v>0</v>
      </c>
      <c r="AA564">
        <v>0</v>
      </c>
      <c r="AB564">
        <v>9</v>
      </c>
      <c r="AC564">
        <v>3</v>
      </c>
      <c r="AD564">
        <v>0</v>
      </c>
      <c r="AE564">
        <v>10</v>
      </c>
      <c r="AF564" t="s">
        <v>126</v>
      </c>
      <c r="AG564">
        <v>0</v>
      </c>
      <c r="AH564">
        <v>0</v>
      </c>
      <c r="AI564">
        <v>2</v>
      </c>
      <c r="AJ564">
        <v>0</v>
      </c>
      <c r="AK564" t="s">
        <v>416</v>
      </c>
      <c r="AL564">
        <v>31.937213</v>
      </c>
      <c r="AM564" t="s">
        <v>417</v>
      </c>
      <c r="AN564">
        <v>-101.078424</v>
      </c>
      <c r="AQ564" t="s">
        <v>129</v>
      </c>
      <c r="AR564">
        <v>81</v>
      </c>
      <c r="AS564">
        <v>-50</v>
      </c>
      <c r="AT564">
        <v>256</v>
      </c>
      <c r="BB564" t="str">
        <f t="shared" si="64"/>
        <v>1200</v>
      </c>
      <c r="BC564">
        <v>1</v>
      </c>
      <c r="BD564" t="str">
        <f t="shared" si="66"/>
        <v xml:space="preserve">N745MB  </v>
      </c>
      <c r="BE564">
        <v>1</v>
      </c>
      <c r="BG564">
        <v>0</v>
      </c>
      <c r="BH564">
        <v>0</v>
      </c>
      <c r="BI564">
        <v>0</v>
      </c>
      <c r="BL564" t="s">
        <v>130</v>
      </c>
      <c r="BM564">
        <v>1</v>
      </c>
      <c r="BN564">
        <v>0</v>
      </c>
      <c r="BO564">
        <v>0</v>
      </c>
      <c r="BP564">
        <v>0</v>
      </c>
      <c r="BT564">
        <v>0</v>
      </c>
      <c r="BU564">
        <v>0</v>
      </c>
      <c r="CE564" t="str">
        <f>"20:22:49.185"</f>
        <v>20:22:49.185</v>
      </c>
      <c r="CF564">
        <v>185045604</v>
      </c>
      <c r="CS564">
        <v>0</v>
      </c>
      <c r="CT564">
        <v>2</v>
      </c>
      <c r="CU564">
        <v>0</v>
      </c>
      <c r="CV564">
        <v>2</v>
      </c>
      <c r="CW564">
        <v>0</v>
      </c>
      <c r="CX564">
        <v>2</v>
      </c>
      <c r="CY564">
        <v>7</v>
      </c>
      <c r="CZ564" t="s">
        <v>131</v>
      </c>
      <c r="DA564">
        <v>116</v>
      </c>
      <c r="DB564">
        <v>3</v>
      </c>
      <c r="DC564" t="s">
        <v>132</v>
      </c>
      <c r="DD564" t="s">
        <v>133</v>
      </c>
      <c r="DG564">
        <v>8310602</v>
      </c>
      <c r="DI564">
        <v>0</v>
      </c>
      <c r="DJ564">
        <v>0</v>
      </c>
      <c r="DK564">
        <v>1</v>
      </c>
      <c r="DL564">
        <v>0</v>
      </c>
      <c r="DM564">
        <v>0</v>
      </c>
      <c r="DN564">
        <v>0</v>
      </c>
      <c r="DO564">
        <v>0</v>
      </c>
      <c r="DP564">
        <v>1</v>
      </c>
      <c r="DQ564">
        <v>0</v>
      </c>
      <c r="DR564">
        <v>0</v>
      </c>
      <c r="DS564">
        <v>0</v>
      </c>
    </row>
    <row r="565" spans="1:123" x14ac:dyDescent="0.25">
      <c r="A565" t="str">
        <f>"11/29/2023 20:22:49.586"</f>
        <v>11/29/2023 20:22:49.586</v>
      </c>
      <c r="C565" t="str">
        <f t="shared" si="68"/>
        <v>FFDF53C0</v>
      </c>
      <c r="D565" t="s">
        <v>123</v>
      </c>
      <c r="E565">
        <v>14</v>
      </c>
      <c r="F565">
        <v>1014</v>
      </c>
      <c r="G565" t="s">
        <v>124</v>
      </c>
      <c r="J565" t="s">
        <v>125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"20:22:49.180"</f>
        <v>20:22:49.180</v>
      </c>
      <c r="T565" t="str">
        <f>"20:22:49.080"</f>
        <v>20:22:49.080</v>
      </c>
      <c r="U565" t="str">
        <f t="shared" si="63"/>
        <v>AA0632</v>
      </c>
      <c r="V565">
        <v>0</v>
      </c>
      <c r="W565">
        <v>0</v>
      </c>
      <c r="X565">
        <v>2</v>
      </c>
      <c r="Y565">
        <v>0</v>
      </c>
      <c r="AA565">
        <v>0</v>
      </c>
      <c r="AB565">
        <v>9</v>
      </c>
      <c r="AC565">
        <v>3</v>
      </c>
      <c r="AD565">
        <v>0</v>
      </c>
      <c r="AE565">
        <v>10</v>
      </c>
      <c r="AF565" t="s">
        <v>126</v>
      </c>
      <c r="AG565">
        <v>0</v>
      </c>
      <c r="AH565">
        <v>0</v>
      </c>
      <c r="AI565">
        <v>2</v>
      </c>
      <c r="AJ565">
        <v>0</v>
      </c>
      <c r="AK565" t="s">
        <v>416</v>
      </c>
      <c r="AL565">
        <v>31.937213</v>
      </c>
      <c r="AM565" t="s">
        <v>417</v>
      </c>
      <c r="AN565">
        <v>-101.078424</v>
      </c>
      <c r="AQ565" t="s">
        <v>129</v>
      </c>
      <c r="AR565">
        <v>81</v>
      </c>
      <c r="AS565">
        <v>-50</v>
      </c>
      <c r="AT565">
        <v>256</v>
      </c>
      <c r="BB565" t="str">
        <f t="shared" si="64"/>
        <v>1200</v>
      </c>
      <c r="BC565">
        <v>1</v>
      </c>
      <c r="BD565" t="str">
        <f t="shared" si="66"/>
        <v xml:space="preserve">N745MB  </v>
      </c>
      <c r="BE565">
        <v>1</v>
      </c>
      <c r="BG565">
        <v>0</v>
      </c>
      <c r="BH565">
        <v>0</v>
      </c>
      <c r="BI565">
        <v>0</v>
      </c>
      <c r="BL565" t="s">
        <v>130</v>
      </c>
      <c r="BM565">
        <v>1</v>
      </c>
      <c r="BN565">
        <v>0</v>
      </c>
      <c r="BO565">
        <v>0</v>
      </c>
      <c r="BP565">
        <v>0</v>
      </c>
      <c r="BT565">
        <v>0</v>
      </c>
      <c r="BU565">
        <v>0</v>
      </c>
      <c r="CE565" t="str">
        <f>"20:22:49.185"</f>
        <v>20:22:49.185</v>
      </c>
      <c r="CF565">
        <v>185045604</v>
      </c>
      <c r="CS565">
        <v>0</v>
      </c>
      <c r="CT565">
        <v>2</v>
      </c>
      <c r="CU565">
        <v>0</v>
      </c>
      <c r="CV565">
        <v>2</v>
      </c>
      <c r="CW565">
        <v>0</v>
      </c>
      <c r="CX565">
        <v>2</v>
      </c>
      <c r="CY565">
        <v>7</v>
      </c>
      <c r="CZ565" t="s">
        <v>131</v>
      </c>
      <c r="DA565">
        <v>116</v>
      </c>
      <c r="DB565">
        <v>3</v>
      </c>
      <c r="DC565" t="s">
        <v>132</v>
      </c>
      <c r="DD565" t="s">
        <v>133</v>
      </c>
      <c r="DG565">
        <v>8310602</v>
      </c>
      <c r="DI565">
        <v>0</v>
      </c>
      <c r="DJ565">
        <v>0</v>
      </c>
      <c r="DK565">
        <v>1</v>
      </c>
      <c r="DL565">
        <v>0</v>
      </c>
      <c r="DM565">
        <v>0</v>
      </c>
      <c r="DN565">
        <v>0</v>
      </c>
      <c r="DO565">
        <v>0</v>
      </c>
      <c r="DP565">
        <v>1</v>
      </c>
      <c r="DQ565">
        <v>0</v>
      </c>
      <c r="DR565">
        <v>0</v>
      </c>
      <c r="DS565">
        <v>0</v>
      </c>
    </row>
    <row r="566" spans="1:123" x14ac:dyDescent="0.25">
      <c r="A566" t="str">
        <f>"11/29/2023 20:22:49.602"</f>
        <v>11/29/2023 20:22:49.602</v>
      </c>
      <c r="C566" t="str">
        <f t="shared" si="68"/>
        <v>FFDF53C0</v>
      </c>
      <c r="D566" t="s">
        <v>135</v>
      </c>
      <c r="E566">
        <v>31</v>
      </c>
      <c r="H566">
        <v>285</v>
      </c>
      <c r="I566" t="s">
        <v>136</v>
      </c>
      <c r="J566" t="s">
        <v>137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"20:22:49.180"</f>
        <v>20:22:49.180</v>
      </c>
      <c r="T566" t="str">
        <f>"20:22:49.080"</f>
        <v>20:22:49.080</v>
      </c>
      <c r="U566" t="str">
        <f t="shared" si="63"/>
        <v>AA0632</v>
      </c>
      <c r="V566">
        <v>0</v>
      </c>
      <c r="W566">
        <v>0</v>
      </c>
      <c r="X566">
        <v>2</v>
      </c>
      <c r="Y566">
        <v>0</v>
      </c>
      <c r="AA566">
        <v>0</v>
      </c>
      <c r="AB566">
        <v>9</v>
      </c>
      <c r="AC566">
        <v>3</v>
      </c>
      <c r="AD566">
        <v>0</v>
      </c>
      <c r="AE566">
        <v>10</v>
      </c>
      <c r="AF566" t="s">
        <v>126</v>
      </c>
      <c r="AG566">
        <v>0</v>
      </c>
      <c r="AH566">
        <v>0</v>
      </c>
      <c r="AI566">
        <v>2</v>
      </c>
      <c r="AJ566">
        <v>0</v>
      </c>
      <c r="AK566" t="s">
        <v>416</v>
      </c>
      <c r="AL566">
        <v>31.937213</v>
      </c>
      <c r="AM566" t="s">
        <v>417</v>
      </c>
      <c r="AN566">
        <v>-101.078424</v>
      </c>
      <c r="AQ566" t="s">
        <v>129</v>
      </c>
      <c r="AR566">
        <v>81</v>
      </c>
      <c r="AS566">
        <v>-50</v>
      </c>
      <c r="AT566">
        <v>256</v>
      </c>
      <c r="BB566" t="str">
        <f t="shared" si="64"/>
        <v>1200</v>
      </c>
      <c r="BC566">
        <v>1</v>
      </c>
      <c r="BD566" t="str">
        <f t="shared" si="66"/>
        <v xml:space="preserve">N745MB  </v>
      </c>
      <c r="BE566">
        <v>1</v>
      </c>
      <c r="BG566">
        <v>0</v>
      </c>
      <c r="BH566">
        <v>0</v>
      </c>
      <c r="BI566">
        <v>0</v>
      </c>
      <c r="BL566" t="s">
        <v>130</v>
      </c>
      <c r="BM566">
        <v>1</v>
      </c>
      <c r="BN566">
        <v>0</v>
      </c>
      <c r="BO566">
        <v>0</v>
      </c>
      <c r="BP566">
        <v>0</v>
      </c>
      <c r="BT566">
        <v>0</v>
      </c>
      <c r="BU566">
        <v>0</v>
      </c>
      <c r="CE566" t="str">
        <f>"20:22:49.185"</f>
        <v>20:22:49.185</v>
      </c>
      <c r="CF566">
        <v>185045604</v>
      </c>
      <c r="CS566">
        <v>0</v>
      </c>
      <c r="CT566">
        <v>2</v>
      </c>
      <c r="CU566">
        <v>0</v>
      </c>
      <c r="CV566">
        <v>2</v>
      </c>
      <c r="CW566">
        <v>0</v>
      </c>
      <c r="CX566">
        <v>2</v>
      </c>
      <c r="CY566">
        <v>7</v>
      </c>
      <c r="CZ566" t="s">
        <v>131</v>
      </c>
      <c r="DA566">
        <v>116</v>
      </c>
      <c r="DB566">
        <v>3</v>
      </c>
      <c r="DC566" t="s">
        <v>132</v>
      </c>
      <c r="DD566" t="s">
        <v>133</v>
      </c>
      <c r="DG566">
        <v>8310602</v>
      </c>
      <c r="DI566">
        <v>0</v>
      </c>
      <c r="DJ566">
        <v>0</v>
      </c>
      <c r="DK566">
        <v>1</v>
      </c>
      <c r="DL566">
        <v>0</v>
      </c>
      <c r="DM566">
        <v>0</v>
      </c>
      <c r="DN566">
        <v>0</v>
      </c>
      <c r="DO566">
        <v>0</v>
      </c>
      <c r="DP566">
        <v>1</v>
      </c>
      <c r="DQ566">
        <v>0</v>
      </c>
      <c r="DR566">
        <v>0</v>
      </c>
      <c r="DS566">
        <v>0</v>
      </c>
    </row>
    <row r="567" spans="1:123" x14ac:dyDescent="0.25">
      <c r="A567" t="str">
        <f>"11/29/2023 20:22:50.649"</f>
        <v>11/29/2023 20:22:50.649</v>
      </c>
      <c r="C567" t="str">
        <f t="shared" si="68"/>
        <v>FFDF53C0</v>
      </c>
      <c r="D567" t="s">
        <v>123</v>
      </c>
      <c r="E567">
        <v>1</v>
      </c>
      <c r="F567">
        <v>1001</v>
      </c>
      <c r="G567" t="s">
        <v>134</v>
      </c>
      <c r="J567" t="s">
        <v>125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"20:22:50.250"</f>
        <v>20:22:50.250</v>
      </c>
      <c r="T567" t="str">
        <f>"20:22:49.950"</f>
        <v>20:22:49.950</v>
      </c>
      <c r="U567" t="str">
        <f t="shared" si="63"/>
        <v>AA0632</v>
      </c>
      <c r="V567">
        <v>0</v>
      </c>
      <c r="W567">
        <v>0</v>
      </c>
      <c r="X567">
        <v>2</v>
      </c>
      <c r="Y567">
        <v>0</v>
      </c>
      <c r="AA567">
        <v>0</v>
      </c>
      <c r="AB567">
        <v>9</v>
      </c>
      <c r="AC567">
        <v>3</v>
      </c>
      <c r="AD567">
        <v>0</v>
      </c>
      <c r="AE567">
        <v>10</v>
      </c>
      <c r="AF567" t="s">
        <v>126</v>
      </c>
      <c r="AG567">
        <v>0</v>
      </c>
      <c r="AH567">
        <v>0</v>
      </c>
      <c r="AI567">
        <v>2</v>
      </c>
      <c r="AJ567">
        <v>0</v>
      </c>
      <c r="AK567" t="s">
        <v>418</v>
      </c>
      <c r="AL567">
        <v>31.936976999999999</v>
      </c>
      <c r="AM567" t="s">
        <v>419</v>
      </c>
      <c r="AN567">
        <v>-101.078017</v>
      </c>
      <c r="AQ567" t="s">
        <v>129</v>
      </c>
      <c r="AR567">
        <v>81</v>
      </c>
      <c r="AS567">
        <v>-50</v>
      </c>
      <c r="AT567">
        <v>128</v>
      </c>
      <c r="BB567" t="str">
        <f t="shared" si="64"/>
        <v>1200</v>
      </c>
      <c r="BC567">
        <v>1</v>
      </c>
      <c r="BD567" t="str">
        <f t="shared" si="66"/>
        <v xml:space="preserve">N745MB  </v>
      </c>
      <c r="BE567">
        <v>1</v>
      </c>
      <c r="BG567">
        <v>0</v>
      </c>
      <c r="BH567">
        <v>0</v>
      </c>
      <c r="BI567">
        <v>0</v>
      </c>
      <c r="BL567" t="s">
        <v>130</v>
      </c>
      <c r="BM567">
        <v>1</v>
      </c>
      <c r="BN567">
        <v>0</v>
      </c>
      <c r="BO567">
        <v>0</v>
      </c>
      <c r="BP567">
        <v>0</v>
      </c>
      <c r="BT567">
        <v>0</v>
      </c>
      <c r="BU567">
        <v>0</v>
      </c>
      <c r="CE567" t="str">
        <f>"20:22:50.255"</f>
        <v>20:22:50.255</v>
      </c>
      <c r="CF567">
        <v>254973335</v>
      </c>
      <c r="CS567">
        <v>0</v>
      </c>
      <c r="CT567">
        <v>2</v>
      </c>
      <c r="CU567">
        <v>0</v>
      </c>
      <c r="CV567">
        <v>2</v>
      </c>
      <c r="CW567">
        <v>0</v>
      </c>
      <c r="CX567">
        <v>2</v>
      </c>
      <c r="CY567">
        <v>7</v>
      </c>
      <c r="CZ567" t="s">
        <v>131</v>
      </c>
      <c r="DA567">
        <v>116</v>
      </c>
      <c r="DB567">
        <v>0</v>
      </c>
      <c r="DC567" t="s">
        <v>132</v>
      </c>
      <c r="DD567" t="s">
        <v>133</v>
      </c>
      <c r="DG567">
        <v>14514991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1</v>
      </c>
      <c r="DQ567">
        <v>0</v>
      </c>
      <c r="DR567">
        <v>0</v>
      </c>
      <c r="DS567">
        <v>0</v>
      </c>
    </row>
    <row r="568" spans="1:123" x14ac:dyDescent="0.25">
      <c r="A568" t="str">
        <f>"11/29/2023 20:22:50.695"</f>
        <v>11/29/2023 20:22:50.695</v>
      </c>
      <c r="C568" t="str">
        <f t="shared" si="68"/>
        <v>FFDF53C0</v>
      </c>
      <c r="D568" t="s">
        <v>138</v>
      </c>
      <c r="E568">
        <v>3</v>
      </c>
      <c r="H568">
        <v>160</v>
      </c>
      <c r="I568" t="s">
        <v>124</v>
      </c>
      <c r="J568" t="s">
        <v>139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"20:22:50.250"</f>
        <v>20:22:50.250</v>
      </c>
      <c r="T568" t="str">
        <f>"20:22:49.950"</f>
        <v>20:22:49.950</v>
      </c>
      <c r="U568" t="str">
        <f t="shared" si="63"/>
        <v>AA0632</v>
      </c>
      <c r="V568">
        <v>0</v>
      </c>
      <c r="W568">
        <v>0</v>
      </c>
      <c r="X568">
        <v>2</v>
      </c>
      <c r="Y568">
        <v>0</v>
      </c>
      <c r="AA568">
        <v>0</v>
      </c>
      <c r="AB568">
        <v>9</v>
      </c>
      <c r="AC568">
        <v>3</v>
      </c>
      <c r="AD568">
        <v>0</v>
      </c>
      <c r="AE568">
        <v>10</v>
      </c>
      <c r="AF568" t="s">
        <v>126</v>
      </c>
      <c r="AG568">
        <v>0</v>
      </c>
      <c r="AH568">
        <v>0</v>
      </c>
      <c r="AI568">
        <v>2</v>
      </c>
      <c r="AJ568">
        <v>0</v>
      </c>
      <c r="AK568" t="s">
        <v>418</v>
      </c>
      <c r="AL568">
        <v>31.936976999999999</v>
      </c>
      <c r="AM568" t="s">
        <v>419</v>
      </c>
      <c r="AN568">
        <v>-101.078017</v>
      </c>
      <c r="AQ568" t="s">
        <v>129</v>
      </c>
      <c r="AR568">
        <v>81</v>
      </c>
      <c r="AS568">
        <v>-50</v>
      </c>
      <c r="AT568">
        <v>128</v>
      </c>
      <c r="BB568" t="str">
        <f t="shared" si="64"/>
        <v>1200</v>
      </c>
      <c r="BC568">
        <v>1</v>
      </c>
      <c r="BD568" t="str">
        <f t="shared" si="66"/>
        <v xml:space="preserve">N745MB  </v>
      </c>
      <c r="BE568">
        <v>1</v>
      </c>
      <c r="BG568">
        <v>0</v>
      </c>
      <c r="BH568">
        <v>0</v>
      </c>
      <c r="BI568">
        <v>0</v>
      </c>
      <c r="BL568" t="s">
        <v>130</v>
      </c>
      <c r="BM568">
        <v>1</v>
      </c>
      <c r="BN568">
        <v>0</v>
      </c>
      <c r="BO568">
        <v>0</v>
      </c>
      <c r="BP568">
        <v>0</v>
      </c>
      <c r="BT568">
        <v>0</v>
      </c>
      <c r="BU568">
        <v>0</v>
      </c>
      <c r="CE568" t="str">
        <f>"20:22:50.255"</f>
        <v>20:22:50.255</v>
      </c>
      <c r="CF568">
        <v>254973335</v>
      </c>
      <c r="CS568">
        <v>0</v>
      </c>
      <c r="CT568">
        <v>2</v>
      </c>
      <c r="CU568">
        <v>0</v>
      </c>
      <c r="CV568">
        <v>2</v>
      </c>
      <c r="CW568">
        <v>0</v>
      </c>
      <c r="CX568">
        <v>2</v>
      </c>
      <c r="CY568">
        <v>7</v>
      </c>
      <c r="CZ568" t="s">
        <v>131</v>
      </c>
      <c r="DA568">
        <v>116</v>
      </c>
      <c r="DB568">
        <v>0</v>
      </c>
      <c r="DC568" t="s">
        <v>132</v>
      </c>
      <c r="DD568" t="s">
        <v>133</v>
      </c>
      <c r="DG568">
        <v>14514991</v>
      </c>
      <c r="DI568">
        <v>0</v>
      </c>
      <c r="DJ568">
        <v>0</v>
      </c>
      <c r="DK568">
        <v>1</v>
      </c>
      <c r="DL568">
        <v>0</v>
      </c>
      <c r="DM568">
        <v>0</v>
      </c>
      <c r="DN568">
        <v>0</v>
      </c>
      <c r="DO568">
        <v>0</v>
      </c>
      <c r="DP568">
        <v>1</v>
      </c>
      <c r="DQ568">
        <v>0</v>
      </c>
      <c r="DR568">
        <v>0</v>
      </c>
      <c r="DS568">
        <v>0</v>
      </c>
    </row>
    <row r="569" spans="1:123" x14ac:dyDescent="0.25">
      <c r="A569" t="str">
        <f>"11/29/2023 20:22:50.695"</f>
        <v>11/29/2023 20:22:50.695</v>
      </c>
      <c r="C569" t="str">
        <f t="shared" si="68"/>
        <v>FFDF53C0</v>
      </c>
      <c r="D569" t="s">
        <v>123</v>
      </c>
      <c r="E569">
        <v>14</v>
      </c>
      <c r="F569">
        <v>1014</v>
      </c>
      <c r="G569" t="s">
        <v>124</v>
      </c>
      <c r="J569" t="s">
        <v>125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"20:22:50.250"</f>
        <v>20:22:50.250</v>
      </c>
      <c r="T569" t="str">
        <f>"20:22:49.950"</f>
        <v>20:22:49.950</v>
      </c>
      <c r="U569" t="str">
        <f t="shared" si="63"/>
        <v>AA0632</v>
      </c>
      <c r="V569">
        <v>0</v>
      </c>
      <c r="W569">
        <v>0</v>
      </c>
      <c r="X569">
        <v>2</v>
      </c>
      <c r="Y569">
        <v>0</v>
      </c>
      <c r="AA569">
        <v>0</v>
      </c>
      <c r="AB569">
        <v>9</v>
      </c>
      <c r="AC569">
        <v>3</v>
      </c>
      <c r="AD569">
        <v>0</v>
      </c>
      <c r="AE569">
        <v>10</v>
      </c>
      <c r="AF569" t="s">
        <v>126</v>
      </c>
      <c r="AG569">
        <v>0</v>
      </c>
      <c r="AH569">
        <v>0</v>
      </c>
      <c r="AI569">
        <v>2</v>
      </c>
      <c r="AJ569">
        <v>0</v>
      </c>
      <c r="AK569" t="s">
        <v>418</v>
      </c>
      <c r="AL569">
        <v>31.936976999999999</v>
      </c>
      <c r="AM569" t="s">
        <v>419</v>
      </c>
      <c r="AN569">
        <v>-101.078017</v>
      </c>
      <c r="AQ569" t="s">
        <v>129</v>
      </c>
      <c r="AR569">
        <v>81</v>
      </c>
      <c r="AS569">
        <v>-50</v>
      </c>
      <c r="AT569">
        <v>128</v>
      </c>
      <c r="BB569" t="str">
        <f t="shared" si="64"/>
        <v>1200</v>
      </c>
      <c r="BC569">
        <v>1</v>
      </c>
      <c r="BD569" t="str">
        <f t="shared" si="66"/>
        <v xml:space="preserve">N745MB  </v>
      </c>
      <c r="BE569">
        <v>1</v>
      </c>
      <c r="BG569">
        <v>0</v>
      </c>
      <c r="BH569">
        <v>0</v>
      </c>
      <c r="BI569">
        <v>0</v>
      </c>
      <c r="BL569" t="s">
        <v>130</v>
      </c>
      <c r="BM569">
        <v>1</v>
      </c>
      <c r="BN569">
        <v>0</v>
      </c>
      <c r="BO569">
        <v>0</v>
      </c>
      <c r="BP569">
        <v>0</v>
      </c>
      <c r="BT569">
        <v>0</v>
      </c>
      <c r="BU569">
        <v>0</v>
      </c>
      <c r="CE569" t="str">
        <f>"20:22:50.255"</f>
        <v>20:22:50.255</v>
      </c>
      <c r="CF569">
        <v>254973335</v>
      </c>
      <c r="CS569">
        <v>0</v>
      </c>
      <c r="CT569">
        <v>2</v>
      </c>
      <c r="CU569">
        <v>0</v>
      </c>
      <c r="CV569">
        <v>2</v>
      </c>
      <c r="CW569">
        <v>0</v>
      </c>
      <c r="CX569">
        <v>2</v>
      </c>
      <c r="CY569">
        <v>7</v>
      </c>
      <c r="CZ569" t="s">
        <v>131</v>
      </c>
      <c r="DA569">
        <v>116</v>
      </c>
      <c r="DB569">
        <v>0</v>
      </c>
      <c r="DC569" t="s">
        <v>132</v>
      </c>
      <c r="DD569" t="s">
        <v>133</v>
      </c>
      <c r="DG569">
        <v>14514991</v>
      </c>
      <c r="DI569">
        <v>0</v>
      </c>
      <c r="DJ569">
        <v>0</v>
      </c>
      <c r="DK569">
        <v>1</v>
      </c>
      <c r="DL569">
        <v>0</v>
      </c>
      <c r="DM569">
        <v>0</v>
      </c>
      <c r="DN569">
        <v>0</v>
      </c>
      <c r="DO569">
        <v>0</v>
      </c>
      <c r="DP569">
        <v>1</v>
      </c>
      <c r="DQ569">
        <v>0</v>
      </c>
      <c r="DR569">
        <v>0</v>
      </c>
      <c r="DS569">
        <v>0</v>
      </c>
    </row>
    <row r="570" spans="1:123" x14ac:dyDescent="0.25">
      <c r="A570" t="str">
        <f>"11/29/2023 20:22:50.758"</f>
        <v>11/29/2023 20:22:50.758</v>
      </c>
      <c r="C570" t="str">
        <f t="shared" si="68"/>
        <v>FFDF53C0</v>
      </c>
      <c r="D570" t="s">
        <v>135</v>
      </c>
      <c r="E570">
        <v>31</v>
      </c>
      <c r="H570">
        <v>285</v>
      </c>
      <c r="I570" t="s">
        <v>136</v>
      </c>
      <c r="J570" t="s">
        <v>137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"20:22:50.250"</f>
        <v>20:22:50.250</v>
      </c>
      <c r="T570" t="str">
        <f>"20:22:49.950"</f>
        <v>20:22:49.950</v>
      </c>
      <c r="U570" t="str">
        <f t="shared" si="63"/>
        <v>AA0632</v>
      </c>
      <c r="V570">
        <v>0</v>
      </c>
      <c r="W570">
        <v>0</v>
      </c>
      <c r="X570">
        <v>2</v>
      </c>
      <c r="Y570">
        <v>0</v>
      </c>
      <c r="AA570">
        <v>0</v>
      </c>
      <c r="AB570">
        <v>9</v>
      </c>
      <c r="AC570">
        <v>3</v>
      </c>
      <c r="AD570">
        <v>0</v>
      </c>
      <c r="AE570">
        <v>10</v>
      </c>
      <c r="AF570" t="s">
        <v>126</v>
      </c>
      <c r="AG570">
        <v>0</v>
      </c>
      <c r="AH570">
        <v>0</v>
      </c>
      <c r="AI570">
        <v>2</v>
      </c>
      <c r="AJ570">
        <v>0</v>
      </c>
      <c r="AK570" t="s">
        <v>418</v>
      </c>
      <c r="AL570">
        <v>31.936976999999999</v>
      </c>
      <c r="AM570" t="s">
        <v>419</v>
      </c>
      <c r="AN570">
        <v>-101.078017</v>
      </c>
      <c r="AQ570" t="s">
        <v>129</v>
      </c>
      <c r="AR570">
        <v>81</v>
      </c>
      <c r="AS570">
        <v>-50</v>
      </c>
      <c r="AT570">
        <v>128</v>
      </c>
      <c r="BB570" t="str">
        <f t="shared" si="64"/>
        <v>1200</v>
      </c>
      <c r="BC570">
        <v>1</v>
      </c>
      <c r="BD570" t="str">
        <f t="shared" si="66"/>
        <v xml:space="preserve">N745MB  </v>
      </c>
      <c r="BE570">
        <v>1</v>
      </c>
      <c r="BG570">
        <v>0</v>
      </c>
      <c r="BH570">
        <v>0</v>
      </c>
      <c r="BI570">
        <v>0</v>
      </c>
      <c r="BL570" t="s">
        <v>130</v>
      </c>
      <c r="BM570">
        <v>1</v>
      </c>
      <c r="BN570">
        <v>0</v>
      </c>
      <c r="BO570">
        <v>0</v>
      </c>
      <c r="BP570">
        <v>0</v>
      </c>
      <c r="BT570">
        <v>0</v>
      </c>
      <c r="BU570">
        <v>0</v>
      </c>
      <c r="CE570" t="str">
        <f>"20:22:50.255"</f>
        <v>20:22:50.255</v>
      </c>
      <c r="CF570">
        <v>254973335</v>
      </c>
      <c r="CS570">
        <v>0</v>
      </c>
      <c r="CT570">
        <v>2</v>
      </c>
      <c r="CU570">
        <v>0</v>
      </c>
      <c r="CV570">
        <v>2</v>
      </c>
      <c r="CW570">
        <v>0</v>
      </c>
      <c r="CX570">
        <v>2</v>
      </c>
      <c r="CY570">
        <v>7</v>
      </c>
      <c r="CZ570" t="s">
        <v>131</v>
      </c>
      <c r="DA570">
        <v>116</v>
      </c>
      <c r="DB570">
        <v>0</v>
      </c>
      <c r="DC570" t="s">
        <v>132</v>
      </c>
      <c r="DD570" t="s">
        <v>133</v>
      </c>
      <c r="DG570">
        <v>14514991</v>
      </c>
      <c r="DI570">
        <v>0</v>
      </c>
      <c r="DJ570">
        <v>0</v>
      </c>
      <c r="DK570">
        <v>1</v>
      </c>
      <c r="DL570">
        <v>0</v>
      </c>
      <c r="DM570">
        <v>0</v>
      </c>
      <c r="DN570">
        <v>0</v>
      </c>
      <c r="DO570">
        <v>0</v>
      </c>
      <c r="DP570">
        <v>1</v>
      </c>
      <c r="DQ570">
        <v>0</v>
      </c>
      <c r="DR570">
        <v>0</v>
      </c>
      <c r="DS570">
        <v>0</v>
      </c>
    </row>
    <row r="571" spans="1:123" x14ac:dyDescent="0.25">
      <c r="A571" t="str">
        <f>"11/29/2023 20:22:52.070"</f>
        <v>11/29/2023 20:22:52.070</v>
      </c>
      <c r="C571" t="str">
        <f t="shared" si="68"/>
        <v>FFDF53C0</v>
      </c>
      <c r="D571" t="s">
        <v>123</v>
      </c>
      <c r="E571">
        <v>1</v>
      </c>
      <c r="F571">
        <v>1001</v>
      </c>
      <c r="G571" t="s">
        <v>134</v>
      </c>
      <c r="J571" t="s">
        <v>125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"20:22:51.695"</f>
        <v>20:22:51.695</v>
      </c>
      <c r="T571" t="str">
        <f>"20:22:51.295"</f>
        <v>20:22:51.295</v>
      </c>
      <c r="U571" t="str">
        <f t="shared" si="63"/>
        <v>AA0632</v>
      </c>
      <c r="V571">
        <v>0</v>
      </c>
      <c r="W571">
        <v>0</v>
      </c>
      <c r="X571">
        <v>2</v>
      </c>
      <c r="Y571">
        <v>0</v>
      </c>
      <c r="AA571">
        <v>0</v>
      </c>
      <c r="AB571">
        <v>9</v>
      </c>
      <c r="AC571">
        <v>3</v>
      </c>
      <c r="AD571">
        <v>0</v>
      </c>
      <c r="AE571">
        <v>10</v>
      </c>
      <c r="AF571" t="s">
        <v>126</v>
      </c>
      <c r="AG571">
        <v>0</v>
      </c>
      <c r="AH571">
        <v>0</v>
      </c>
      <c r="AI571">
        <v>2</v>
      </c>
      <c r="AJ571">
        <v>0</v>
      </c>
      <c r="AK571" t="s">
        <v>420</v>
      </c>
      <c r="AL571">
        <v>31.936654999999998</v>
      </c>
      <c r="AM571" t="s">
        <v>421</v>
      </c>
      <c r="AN571">
        <v>-101.077352</v>
      </c>
      <c r="AQ571" t="s">
        <v>129</v>
      </c>
      <c r="AR571">
        <v>80</v>
      </c>
      <c r="AS571">
        <v>-49</v>
      </c>
      <c r="AT571">
        <v>64</v>
      </c>
      <c r="BB571" t="str">
        <f t="shared" si="64"/>
        <v>1200</v>
      </c>
      <c r="BC571">
        <v>1</v>
      </c>
      <c r="BD571" t="str">
        <f t="shared" si="66"/>
        <v xml:space="preserve">N745MB  </v>
      </c>
      <c r="BE571">
        <v>1</v>
      </c>
      <c r="BG571">
        <v>0</v>
      </c>
      <c r="BH571">
        <v>0</v>
      </c>
      <c r="BI571">
        <v>0</v>
      </c>
      <c r="BL571" t="s">
        <v>130</v>
      </c>
      <c r="BM571">
        <v>1</v>
      </c>
      <c r="BN571">
        <v>0</v>
      </c>
      <c r="BO571">
        <v>0</v>
      </c>
      <c r="BP571">
        <v>0</v>
      </c>
      <c r="BT571">
        <v>0</v>
      </c>
      <c r="BU571">
        <v>0</v>
      </c>
      <c r="CE571" t="str">
        <f>"20:22:51.701"</f>
        <v>20:22:51.701</v>
      </c>
      <c r="CF571">
        <v>700875212</v>
      </c>
      <c r="CS571">
        <v>0</v>
      </c>
      <c r="CT571">
        <v>2</v>
      </c>
      <c r="CU571">
        <v>0</v>
      </c>
      <c r="CV571">
        <v>2</v>
      </c>
      <c r="CW571">
        <v>0</v>
      </c>
      <c r="CX571">
        <v>2</v>
      </c>
      <c r="CY571">
        <v>7</v>
      </c>
      <c r="CZ571" t="s">
        <v>131</v>
      </c>
      <c r="DA571">
        <v>116</v>
      </c>
      <c r="DB571">
        <v>0</v>
      </c>
      <c r="DC571" t="s">
        <v>132</v>
      </c>
      <c r="DD571" t="s">
        <v>133</v>
      </c>
      <c r="DG571">
        <v>14516280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1</v>
      </c>
      <c r="DQ571">
        <v>0</v>
      </c>
      <c r="DR571">
        <v>0</v>
      </c>
      <c r="DS571">
        <v>0</v>
      </c>
    </row>
    <row r="572" spans="1:123" x14ac:dyDescent="0.25">
      <c r="A572" t="str">
        <f>"11/29/2023 20:22:52.070"</f>
        <v>11/29/2023 20:22:52.070</v>
      </c>
      <c r="C572" t="str">
        <f t="shared" si="68"/>
        <v>FFDF53C0</v>
      </c>
      <c r="D572" t="s">
        <v>138</v>
      </c>
      <c r="E572">
        <v>3</v>
      </c>
      <c r="H572">
        <v>160</v>
      </c>
      <c r="I572" t="s">
        <v>124</v>
      </c>
      <c r="J572" t="s">
        <v>139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"20:22:51.695"</f>
        <v>20:22:51.695</v>
      </c>
      <c r="T572" t="str">
        <f>"20:22:51.295"</f>
        <v>20:22:51.295</v>
      </c>
      <c r="U572" t="str">
        <f t="shared" si="63"/>
        <v>AA0632</v>
      </c>
      <c r="V572">
        <v>0</v>
      </c>
      <c r="W572">
        <v>0</v>
      </c>
      <c r="X572">
        <v>2</v>
      </c>
      <c r="Y572">
        <v>0</v>
      </c>
      <c r="AA572">
        <v>0</v>
      </c>
      <c r="AB572">
        <v>9</v>
      </c>
      <c r="AC572">
        <v>3</v>
      </c>
      <c r="AD572">
        <v>0</v>
      </c>
      <c r="AE572">
        <v>10</v>
      </c>
      <c r="AF572" t="s">
        <v>126</v>
      </c>
      <c r="AG572">
        <v>0</v>
      </c>
      <c r="AH572">
        <v>0</v>
      </c>
      <c r="AI572">
        <v>2</v>
      </c>
      <c r="AJ572">
        <v>0</v>
      </c>
      <c r="AK572" t="s">
        <v>420</v>
      </c>
      <c r="AL572">
        <v>31.936654999999998</v>
      </c>
      <c r="AM572" t="s">
        <v>421</v>
      </c>
      <c r="AN572">
        <v>-101.077352</v>
      </c>
      <c r="AQ572" t="s">
        <v>129</v>
      </c>
      <c r="AR572">
        <v>80</v>
      </c>
      <c r="AS572">
        <v>-49</v>
      </c>
      <c r="AT572">
        <v>64</v>
      </c>
      <c r="BB572" t="str">
        <f t="shared" si="64"/>
        <v>1200</v>
      </c>
      <c r="BC572">
        <v>1</v>
      </c>
      <c r="BD572" t="str">
        <f t="shared" si="66"/>
        <v xml:space="preserve">N745MB  </v>
      </c>
      <c r="BE572">
        <v>1</v>
      </c>
      <c r="BG572">
        <v>0</v>
      </c>
      <c r="BH572">
        <v>0</v>
      </c>
      <c r="BI572">
        <v>0</v>
      </c>
      <c r="BL572" t="s">
        <v>130</v>
      </c>
      <c r="BM572">
        <v>1</v>
      </c>
      <c r="BN572">
        <v>0</v>
      </c>
      <c r="BO572">
        <v>0</v>
      </c>
      <c r="BP572">
        <v>0</v>
      </c>
      <c r="BT572">
        <v>0</v>
      </c>
      <c r="BU572">
        <v>0</v>
      </c>
      <c r="CE572" t="str">
        <f>"20:22:51.701"</f>
        <v>20:22:51.701</v>
      </c>
      <c r="CF572">
        <v>700875212</v>
      </c>
      <c r="CS572">
        <v>0</v>
      </c>
      <c r="CT572">
        <v>2</v>
      </c>
      <c r="CU572">
        <v>0</v>
      </c>
      <c r="CV572">
        <v>2</v>
      </c>
      <c r="CW572">
        <v>0</v>
      </c>
      <c r="CX572">
        <v>2</v>
      </c>
      <c r="CY572">
        <v>7</v>
      </c>
      <c r="CZ572" t="s">
        <v>131</v>
      </c>
      <c r="DA572">
        <v>116</v>
      </c>
      <c r="DB572">
        <v>0</v>
      </c>
      <c r="DC572" t="s">
        <v>132</v>
      </c>
      <c r="DD572" t="s">
        <v>133</v>
      </c>
      <c r="DG572">
        <v>14516280</v>
      </c>
      <c r="DI572">
        <v>0</v>
      </c>
      <c r="DJ572">
        <v>0</v>
      </c>
      <c r="DK572">
        <v>1</v>
      </c>
      <c r="DL572">
        <v>0</v>
      </c>
      <c r="DM572">
        <v>0</v>
      </c>
      <c r="DN572">
        <v>0</v>
      </c>
      <c r="DO572">
        <v>0</v>
      </c>
      <c r="DP572">
        <v>1</v>
      </c>
      <c r="DQ572">
        <v>0</v>
      </c>
      <c r="DR572">
        <v>0</v>
      </c>
      <c r="DS572">
        <v>0</v>
      </c>
    </row>
    <row r="573" spans="1:123" x14ac:dyDescent="0.25">
      <c r="A573" t="str">
        <f>"11/29/2023 20:22:52.070"</f>
        <v>11/29/2023 20:22:52.070</v>
      </c>
      <c r="C573" t="str">
        <f t="shared" si="68"/>
        <v>FFDF53C0</v>
      </c>
      <c r="D573" t="s">
        <v>123</v>
      </c>
      <c r="E573">
        <v>14</v>
      </c>
      <c r="F573">
        <v>1014</v>
      </c>
      <c r="G573" t="s">
        <v>124</v>
      </c>
      <c r="J573" t="s">
        <v>125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"20:22:51.695"</f>
        <v>20:22:51.695</v>
      </c>
      <c r="T573" t="str">
        <f>"20:22:51.295"</f>
        <v>20:22:51.295</v>
      </c>
      <c r="U573" t="str">
        <f t="shared" si="63"/>
        <v>AA0632</v>
      </c>
      <c r="V573">
        <v>0</v>
      </c>
      <c r="W573">
        <v>0</v>
      </c>
      <c r="X573">
        <v>2</v>
      </c>
      <c r="Y573">
        <v>0</v>
      </c>
      <c r="AA573">
        <v>0</v>
      </c>
      <c r="AB573">
        <v>9</v>
      </c>
      <c r="AC573">
        <v>3</v>
      </c>
      <c r="AD573">
        <v>0</v>
      </c>
      <c r="AE573">
        <v>10</v>
      </c>
      <c r="AF573" t="s">
        <v>126</v>
      </c>
      <c r="AG573">
        <v>0</v>
      </c>
      <c r="AH573">
        <v>0</v>
      </c>
      <c r="AI573">
        <v>2</v>
      </c>
      <c r="AJ573">
        <v>0</v>
      </c>
      <c r="AK573" t="s">
        <v>420</v>
      </c>
      <c r="AL573">
        <v>31.936654999999998</v>
      </c>
      <c r="AM573" t="s">
        <v>421</v>
      </c>
      <c r="AN573">
        <v>-101.077352</v>
      </c>
      <c r="AQ573" t="s">
        <v>129</v>
      </c>
      <c r="AR573">
        <v>80</v>
      </c>
      <c r="AS573">
        <v>-49</v>
      </c>
      <c r="AT573">
        <v>64</v>
      </c>
      <c r="BB573" t="str">
        <f t="shared" si="64"/>
        <v>1200</v>
      </c>
      <c r="BC573">
        <v>1</v>
      </c>
      <c r="BD573" t="str">
        <f t="shared" si="66"/>
        <v xml:space="preserve">N745MB  </v>
      </c>
      <c r="BE573">
        <v>1</v>
      </c>
      <c r="BG573">
        <v>0</v>
      </c>
      <c r="BH573">
        <v>0</v>
      </c>
      <c r="BI573">
        <v>0</v>
      </c>
      <c r="BL573" t="s">
        <v>130</v>
      </c>
      <c r="BM573">
        <v>1</v>
      </c>
      <c r="BN573">
        <v>0</v>
      </c>
      <c r="BO573">
        <v>0</v>
      </c>
      <c r="BP573">
        <v>0</v>
      </c>
      <c r="BT573">
        <v>0</v>
      </c>
      <c r="BU573">
        <v>0</v>
      </c>
      <c r="CE573" t="str">
        <f>"20:22:51.701"</f>
        <v>20:22:51.701</v>
      </c>
      <c r="CF573">
        <v>700875212</v>
      </c>
      <c r="CS573">
        <v>0</v>
      </c>
      <c r="CT573">
        <v>2</v>
      </c>
      <c r="CU573">
        <v>0</v>
      </c>
      <c r="CV573">
        <v>2</v>
      </c>
      <c r="CW573">
        <v>0</v>
      </c>
      <c r="CX573">
        <v>2</v>
      </c>
      <c r="CY573">
        <v>7</v>
      </c>
      <c r="CZ573" t="s">
        <v>131</v>
      </c>
      <c r="DA573">
        <v>116</v>
      </c>
      <c r="DB573">
        <v>0</v>
      </c>
      <c r="DC573" t="s">
        <v>132</v>
      </c>
      <c r="DD573" t="s">
        <v>133</v>
      </c>
      <c r="DG573">
        <v>14516280</v>
      </c>
      <c r="DI573">
        <v>0</v>
      </c>
      <c r="DJ573">
        <v>0</v>
      </c>
      <c r="DK573">
        <v>1</v>
      </c>
      <c r="DL573">
        <v>0</v>
      </c>
      <c r="DM573">
        <v>0</v>
      </c>
      <c r="DN573">
        <v>0</v>
      </c>
      <c r="DO573">
        <v>0</v>
      </c>
      <c r="DP573">
        <v>1</v>
      </c>
      <c r="DQ573">
        <v>0</v>
      </c>
      <c r="DR573">
        <v>0</v>
      </c>
      <c r="DS573">
        <v>0</v>
      </c>
    </row>
    <row r="574" spans="1:123" x14ac:dyDescent="0.25">
      <c r="A574" t="str">
        <f>"11/29/2023 20:22:52.070"</f>
        <v>11/29/2023 20:22:52.070</v>
      </c>
      <c r="C574" t="str">
        <f t="shared" si="68"/>
        <v>FFDF53C0</v>
      </c>
      <c r="D574" t="s">
        <v>135</v>
      </c>
      <c r="E574">
        <v>31</v>
      </c>
      <c r="H574">
        <v>285</v>
      </c>
      <c r="I574" t="s">
        <v>136</v>
      </c>
      <c r="J574" t="s">
        <v>137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"20:22:51.695"</f>
        <v>20:22:51.695</v>
      </c>
      <c r="T574" t="str">
        <f>"20:22:51.295"</f>
        <v>20:22:51.295</v>
      </c>
      <c r="U574" t="str">
        <f t="shared" si="63"/>
        <v>AA0632</v>
      </c>
      <c r="V574">
        <v>0</v>
      </c>
      <c r="W574">
        <v>0</v>
      </c>
      <c r="X574">
        <v>2</v>
      </c>
      <c r="Y574">
        <v>0</v>
      </c>
      <c r="AA574">
        <v>0</v>
      </c>
      <c r="AB574">
        <v>9</v>
      </c>
      <c r="AC574">
        <v>3</v>
      </c>
      <c r="AD574">
        <v>0</v>
      </c>
      <c r="AE574">
        <v>10</v>
      </c>
      <c r="AF574" t="s">
        <v>126</v>
      </c>
      <c r="AG574">
        <v>0</v>
      </c>
      <c r="AH574">
        <v>0</v>
      </c>
      <c r="AI574">
        <v>2</v>
      </c>
      <c r="AJ574">
        <v>0</v>
      </c>
      <c r="AK574" t="s">
        <v>420</v>
      </c>
      <c r="AL574">
        <v>31.936654999999998</v>
      </c>
      <c r="AM574" t="s">
        <v>421</v>
      </c>
      <c r="AN574">
        <v>-101.077352</v>
      </c>
      <c r="AQ574" t="s">
        <v>129</v>
      </c>
      <c r="AR574">
        <v>80</v>
      </c>
      <c r="AS574">
        <v>-49</v>
      </c>
      <c r="AT574">
        <v>64</v>
      </c>
      <c r="BB574" t="str">
        <f t="shared" si="64"/>
        <v>1200</v>
      </c>
      <c r="BC574">
        <v>1</v>
      </c>
      <c r="BD574" t="str">
        <f t="shared" si="66"/>
        <v xml:space="preserve">N745MB  </v>
      </c>
      <c r="BE574">
        <v>1</v>
      </c>
      <c r="BG574">
        <v>0</v>
      </c>
      <c r="BH574">
        <v>0</v>
      </c>
      <c r="BI574">
        <v>0</v>
      </c>
      <c r="BL574" t="s">
        <v>130</v>
      </c>
      <c r="BM574">
        <v>1</v>
      </c>
      <c r="BN574">
        <v>0</v>
      </c>
      <c r="BO574">
        <v>0</v>
      </c>
      <c r="BP574">
        <v>0</v>
      </c>
      <c r="BT574">
        <v>0</v>
      </c>
      <c r="BU574">
        <v>0</v>
      </c>
      <c r="CE574" t="str">
        <f>"20:22:51.701"</f>
        <v>20:22:51.701</v>
      </c>
      <c r="CF574">
        <v>700875212</v>
      </c>
      <c r="CS574">
        <v>0</v>
      </c>
      <c r="CT574">
        <v>2</v>
      </c>
      <c r="CU574">
        <v>0</v>
      </c>
      <c r="CV574">
        <v>2</v>
      </c>
      <c r="CW574">
        <v>0</v>
      </c>
      <c r="CX574">
        <v>2</v>
      </c>
      <c r="CY574">
        <v>7</v>
      </c>
      <c r="CZ574" t="s">
        <v>131</v>
      </c>
      <c r="DA574">
        <v>116</v>
      </c>
      <c r="DB574">
        <v>0</v>
      </c>
      <c r="DC574" t="s">
        <v>132</v>
      </c>
      <c r="DD574" t="s">
        <v>133</v>
      </c>
      <c r="DG574">
        <v>14516280</v>
      </c>
      <c r="DI574">
        <v>0</v>
      </c>
      <c r="DJ574">
        <v>0</v>
      </c>
      <c r="DK574">
        <v>1</v>
      </c>
      <c r="DL574">
        <v>0</v>
      </c>
      <c r="DM574">
        <v>0</v>
      </c>
      <c r="DN574">
        <v>0</v>
      </c>
      <c r="DO574">
        <v>0</v>
      </c>
      <c r="DP574">
        <v>1</v>
      </c>
      <c r="DQ574">
        <v>0</v>
      </c>
      <c r="DR574">
        <v>0</v>
      </c>
      <c r="DS574">
        <v>0</v>
      </c>
    </row>
    <row r="575" spans="1:123" x14ac:dyDescent="0.25">
      <c r="A575" t="str">
        <f>"11/29/2023 20:22:53.336"</f>
        <v>11/29/2023 20:22:53.336</v>
      </c>
      <c r="C575" t="str">
        <f t="shared" si="68"/>
        <v>FFDF53C0</v>
      </c>
      <c r="D575" t="s">
        <v>135</v>
      </c>
      <c r="E575">
        <v>31</v>
      </c>
      <c r="H575">
        <v>285</v>
      </c>
      <c r="I575" t="s">
        <v>136</v>
      </c>
      <c r="J575" t="s">
        <v>137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"20:22:53.031"</f>
        <v>20:22:53.031</v>
      </c>
      <c r="T575" t="str">
        <f>"20:22:52.731"</f>
        <v>20:22:52.731</v>
      </c>
      <c r="U575" t="str">
        <f t="shared" si="63"/>
        <v>AA0632</v>
      </c>
      <c r="V575">
        <v>0</v>
      </c>
      <c r="W575">
        <v>0</v>
      </c>
      <c r="X575">
        <v>2</v>
      </c>
      <c r="Y575">
        <v>0</v>
      </c>
      <c r="AA575">
        <v>0</v>
      </c>
      <c r="AB575">
        <v>9</v>
      </c>
      <c r="AC575">
        <v>3</v>
      </c>
      <c r="AD575">
        <v>0</v>
      </c>
      <c r="AE575">
        <v>10</v>
      </c>
      <c r="AF575" t="s">
        <v>126</v>
      </c>
      <c r="AG575">
        <v>0</v>
      </c>
      <c r="AH575">
        <v>0</v>
      </c>
      <c r="AI575">
        <v>2</v>
      </c>
      <c r="AJ575">
        <v>0</v>
      </c>
      <c r="AK575" t="s">
        <v>422</v>
      </c>
      <c r="AL575">
        <v>31.936333000000001</v>
      </c>
      <c r="AM575" t="s">
        <v>423</v>
      </c>
      <c r="AN575">
        <v>-101.07679400000001</v>
      </c>
      <c r="AQ575" t="s">
        <v>129</v>
      </c>
      <c r="AR575">
        <v>79</v>
      </c>
      <c r="AS575">
        <v>-49</v>
      </c>
      <c r="AT575">
        <v>-128</v>
      </c>
      <c r="BB575" t="str">
        <f t="shared" si="64"/>
        <v>1200</v>
      </c>
      <c r="BC575">
        <v>1</v>
      </c>
      <c r="BD575" t="str">
        <f t="shared" si="66"/>
        <v xml:space="preserve">N745MB  </v>
      </c>
      <c r="BE575">
        <v>1</v>
      </c>
      <c r="BG575">
        <v>0</v>
      </c>
      <c r="BH575">
        <v>0</v>
      </c>
      <c r="BI575">
        <v>0</v>
      </c>
      <c r="BL575" t="s">
        <v>130</v>
      </c>
      <c r="BM575">
        <v>1</v>
      </c>
      <c r="BN575">
        <v>0</v>
      </c>
      <c r="BO575">
        <v>0</v>
      </c>
      <c r="BP575">
        <v>0</v>
      </c>
      <c r="BT575">
        <v>0</v>
      </c>
      <c r="BU575">
        <v>0</v>
      </c>
      <c r="CE575" t="str">
        <f>"20:22:53.039"</f>
        <v>20:22:53.039</v>
      </c>
      <c r="CF575">
        <v>38784787</v>
      </c>
      <c r="CS575">
        <v>0</v>
      </c>
      <c r="CT575">
        <v>2</v>
      </c>
      <c r="CU575">
        <v>0</v>
      </c>
      <c r="CV575">
        <v>2</v>
      </c>
      <c r="CW575">
        <v>0</v>
      </c>
      <c r="CX575">
        <v>2</v>
      </c>
      <c r="CY575">
        <v>7</v>
      </c>
      <c r="CZ575" t="s">
        <v>131</v>
      </c>
      <c r="DA575">
        <v>116</v>
      </c>
      <c r="DB575">
        <v>3</v>
      </c>
      <c r="DC575" t="s">
        <v>132</v>
      </c>
      <c r="DD575" t="s">
        <v>133</v>
      </c>
      <c r="DG575">
        <v>8312776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1</v>
      </c>
      <c r="DQ575">
        <v>0</v>
      </c>
      <c r="DR575">
        <v>0</v>
      </c>
      <c r="DS575">
        <v>0</v>
      </c>
    </row>
    <row r="576" spans="1:123" x14ac:dyDescent="0.25">
      <c r="A576" t="str">
        <f>"11/29/2023 20:22:53.336"</f>
        <v>11/29/2023 20:22:53.336</v>
      </c>
      <c r="C576" t="str">
        <f t="shared" si="68"/>
        <v>FFDF53C0</v>
      </c>
      <c r="D576" t="s">
        <v>123</v>
      </c>
      <c r="E576">
        <v>1</v>
      </c>
      <c r="F576">
        <v>1001</v>
      </c>
      <c r="G576" t="s">
        <v>134</v>
      </c>
      <c r="J576" t="s">
        <v>125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"20:22:53.031"</f>
        <v>20:22:53.031</v>
      </c>
      <c r="T576" t="str">
        <f>"20:22:52.731"</f>
        <v>20:22:52.731</v>
      </c>
      <c r="U576" t="str">
        <f t="shared" si="63"/>
        <v>AA0632</v>
      </c>
      <c r="V576">
        <v>0</v>
      </c>
      <c r="W576">
        <v>0</v>
      </c>
      <c r="X576">
        <v>2</v>
      </c>
      <c r="Y576">
        <v>0</v>
      </c>
      <c r="AA576">
        <v>0</v>
      </c>
      <c r="AB576">
        <v>9</v>
      </c>
      <c r="AC576">
        <v>3</v>
      </c>
      <c r="AD576">
        <v>0</v>
      </c>
      <c r="AE576">
        <v>10</v>
      </c>
      <c r="AF576" t="s">
        <v>126</v>
      </c>
      <c r="AG576">
        <v>0</v>
      </c>
      <c r="AH576">
        <v>0</v>
      </c>
      <c r="AI576">
        <v>2</v>
      </c>
      <c r="AJ576">
        <v>0</v>
      </c>
      <c r="AK576" t="s">
        <v>422</v>
      </c>
      <c r="AL576">
        <v>31.936333000000001</v>
      </c>
      <c r="AM576" t="s">
        <v>423</v>
      </c>
      <c r="AN576">
        <v>-101.07679400000001</v>
      </c>
      <c r="AQ576" t="s">
        <v>129</v>
      </c>
      <c r="AR576">
        <v>79</v>
      </c>
      <c r="AS576">
        <v>-49</v>
      </c>
      <c r="AT576">
        <v>-128</v>
      </c>
      <c r="BB576" t="str">
        <f t="shared" si="64"/>
        <v>1200</v>
      </c>
      <c r="BC576">
        <v>1</v>
      </c>
      <c r="BD576" t="str">
        <f t="shared" si="66"/>
        <v xml:space="preserve">N745MB  </v>
      </c>
      <c r="BE576">
        <v>1</v>
      </c>
      <c r="BG576">
        <v>0</v>
      </c>
      <c r="BH576">
        <v>0</v>
      </c>
      <c r="BI576">
        <v>0</v>
      </c>
      <c r="BL576" t="s">
        <v>130</v>
      </c>
      <c r="BM576">
        <v>1</v>
      </c>
      <c r="BN576">
        <v>0</v>
      </c>
      <c r="BO576">
        <v>0</v>
      </c>
      <c r="BP576">
        <v>0</v>
      </c>
      <c r="BT576">
        <v>0</v>
      </c>
      <c r="BU576">
        <v>0</v>
      </c>
      <c r="CE576" t="str">
        <f>"20:22:53.039"</f>
        <v>20:22:53.039</v>
      </c>
      <c r="CF576">
        <v>38784787</v>
      </c>
      <c r="CS576">
        <v>0</v>
      </c>
      <c r="CT576">
        <v>2</v>
      </c>
      <c r="CU576">
        <v>0</v>
      </c>
      <c r="CV576">
        <v>2</v>
      </c>
      <c r="CW576">
        <v>0</v>
      </c>
      <c r="CX576">
        <v>2</v>
      </c>
      <c r="CY576">
        <v>7</v>
      </c>
      <c r="CZ576" t="s">
        <v>131</v>
      </c>
      <c r="DA576">
        <v>116</v>
      </c>
      <c r="DB576">
        <v>3</v>
      </c>
      <c r="DC576" t="s">
        <v>132</v>
      </c>
      <c r="DD576" t="s">
        <v>133</v>
      </c>
      <c r="DG576">
        <v>8312776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1</v>
      </c>
      <c r="DQ576">
        <v>0</v>
      </c>
      <c r="DR576">
        <v>0</v>
      </c>
      <c r="DS576">
        <v>0</v>
      </c>
    </row>
    <row r="577" spans="1:123" x14ac:dyDescent="0.25">
      <c r="A577" t="str">
        <f>"11/29/2023 20:22:53.430"</f>
        <v>11/29/2023 20:22:53.430</v>
      </c>
      <c r="C577" t="str">
        <f t="shared" si="68"/>
        <v>FFDF53C0</v>
      </c>
      <c r="D577" t="s">
        <v>138</v>
      </c>
      <c r="E577">
        <v>3</v>
      </c>
      <c r="H577">
        <v>160</v>
      </c>
      <c r="I577" t="s">
        <v>124</v>
      </c>
      <c r="J577" t="s">
        <v>139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"20:22:53.031"</f>
        <v>20:22:53.031</v>
      </c>
      <c r="T577" t="str">
        <f>"20:22:52.731"</f>
        <v>20:22:52.731</v>
      </c>
      <c r="U577" t="str">
        <f t="shared" si="63"/>
        <v>AA0632</v>
      </c>
      <c r="V577">
        <v>0</v>
      </c>
      <c r="W577">
        <v>0</v>
      </c>
      <c r="X577">
        <v>2</v>
      </c>
      <c r="Y577">
        <v>0</v>
      </c>
      <c r="AA577">
        <v>0</v>
      </c>
      <c r="AB577">
        <v>9</v>
      </c>
      <c r="AC577">
        <v>3</v>
      </c>
      <c r="AD577">
        <v>0</v>
      </c>
      <c r="AE577">
        <v>10</v>
      </c>
      <c r="AF577" t="s">
        <v>126</v>
      </c>
      <c r="AG577">
        <v>0</v>
      </c>
      <c r="AH577">
        <v>0</v>
      </c>
      <c r="AI577">
        <v>2</v>
      </c>
      <c r="AJ577">
        <v>0</v>
      </c>
      <c r="AK577" t="s">
        <v>422</v>
      </c>
      <c r="AL577">
        <v>31.936333000000001</v>
      </c>
      <c r="AM577" t="s">
        <v>423</v>
      </c>
      <c r="AN577">
        <v>-101.07679400000001</v>
      </c>
      <c r="AQ577" t="s">
        <v>129</v>
      </c>
      <c r="AR577">
        <v>79</v>
      </c>
      <c r="AS577">
        <v>-49</v>
      </c>
      <c r="AT577">
        <v>-128</v>
      </c>
      <c r="BB577" t="str">
        <f t="shared" si="64"/>
        <v>1200</v>
      </c>
      <c r="BC577">
        <v>1</v>
      </c>
      <c r="BD577" t="str">
        <f t="shared" si="66"/>
        <v xml:space="preserve">N745MB  </v>
      </c>
      <c r="BE577">
        <v>1</v>
      </c>
      <c r="BG577">
        <v>0</v>
      </c>
      <c r="BH577">
        <v>0</v>
      </c>
      <c r="BI577">
        <v>0</v>
      </c>
      <c r="BL577" t="s">
        <v>130</v>
      </c>
      <c r="BM577">
        <v>1</v>
      </c>
      <c r="BN577">
        <v>0</v>
      </c>
      <c r="BO577">
        <v>0</v>
      </c>
      <c r="BP577">
        <v>0</v>
      </c>
      <c r="BT577">
        <v>0</v>
      </c>
      <c r="BU577">
        <v>0</v>
      </c>
      <c r="CE577" t="str">
        <f>"20:22:53.039"</f>
        <v>20:22:53.039</v>
      </c>
      <c r="CF577">
        <v>38784787</v>
      </c>
      <c r="CS577">
        <v>0</v>
      </c>
      <c r="CT577">
        <v>2</v>
      </c>
      <c r="CU577">
        <v>0</v>
      </c>
      <c r="CV577">
        <v>2</v>
      </c>
      <c r="CW577">
        <v>0</v>
      </c>
      <c r="CX577">
        <v>2</v>
      </c>
      <c r="CY577">
        <v>7</v>
      </c>
      <c r="CZ577" t="s">
        <v>131</v>
      </c>
      <c r="DA577">
        <v>116</v>
      </c>
      <c r="DB577">
        <v>3</v>
      </c>
      <c r="DC577" t="s">
        <v>132</v>
      </c>
      <c r="DD577" t="s">
        <v>133</v>
      </c>
      <c r="DG577">
        <v>8312776</v>
      </c>
      <c r="DI577">
        <v>0</v>
      </c>
      <c r="DJ577">
        <v>0</v>
      </c>
      <c r="DK577">
        <v>1</v>
      </c>
      <c r="DL577">
        <v>0</v>
      </c>
      <c r="DM577">
        <v>0</v>
      </c>
      <c r="DN577">
        <v>0</v>
      </c>
      <c r="DO577">
        <v>0</v>
      </c>
      <c r="DP577">
        <v>1</v>
      </c>
      <c r="DQ577">
        <v>0</v>
      </c>
      <c r="DR577">
        <v>0</v>
      </c>
      <c r="DS577">
        <v>0</v>
      </c>
    </row>
    <row r="578" spans="1:123" x14ac:dyDescent="0.25">
      <c r="A578" t="str">
        <f>"11/29/2023 20:22:53.430"</f>
        <v>11/29/2023 20:22:53.430</v>
      </c>
      <c r="C578" t="str">
        <f t="shared" si="68"/>
        <v>FFDF53C0</v>
      </c>
      <c r="D578" t="s">
        <v>123</v>
      </c>
      <c r="E578">
        <v>14</v>
      </c>
      <c r="F578">
        <v>1014</v>
      </c>
      <c r="G578" t="s">
        <v>124</v>
      </c>
      <c r="J578" t="s">
        <v>125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"20:22:53.031"</f>
        <v>20:22:53.031</v>
      </c>
      <c r="T578" t="str">
        <f>"20:22:52.731"</f>
        <v>20:22:52.731</v>
      </c>
      <c r="U578" t="str">
        <f t="shared" ref="U578:U641" si="71">"AA0632"</f>
        <v>AA0632</v>
      </c>
      <c r="V578">
        <v>0</v>
      </c>
      <c r="W578">
        <v>0</v>
      </c>
      <c r="X578">
        <v>2</v>
      </c>
      <c r="Y578">
        <v>0</v>
      </c>
      <c r="AA578">
        <v>0</v>
      </c>
      <c r="AB578">
        <v>9</v>
      </c>
      <c r="AC578">
        <v>3</v>
      </c>
      <c r="AD578">
        <v>0</v>
      </c>
      <c r="AE578">
        <v>10</v>
      </c>
      <c r="AF578" t="s">
        <v>126</v>
      </c>
      <c r="AG578">
        <v>0</v>
      </c>
      <c r="AH578">
        <v>0</v>
      </c>
      <c r="AI578">
        <v>2</v>
      </c>
      <c r="AJ578">
        <v>0</v>
      </c>
      <c r="AK578" t="s">
        <v>422</v>
      </c>
      <c r="AL578">
        <v>31.936333000000001</v>
      </c>
      <c r="AM578" t="s">
        <v>423</v>
      </c>
      <c r="AN578">
        <v>-101.07679400000001</v>
      </c>
      <c r="AQ578" t="s">
        <v>129</v>
      </c>
      <c r="AR578">
        <v>79</v>
      </c>
      <c r="AS578">
        <v>-49</v>
      </c>
      <c r="AT578">
        <v>-128</v>
      </c>
      <c r="BB578" t="str">
        <f t="shared" ref="BB578:BB641" si="72">"1200"</f>
        <v>1200</v>
      </c>
      <c r="BC578">
        <v>1</v>
      </c>
      <c r="BD578" t="str">
        <f t="shared" si="66"/>
        <v xml:space="preserve">N745MB  </v>
      </c>
      <c r="BE578">
        <v>1</v>
      </c>
      <c r="BG578">
        <v>0</v>
      </c>
      <c r="BH578">
        <v>0</v>
      </c>
      <c r="BI578">
        <v>0</v>
      </c>
      <c r="BL578" t="s">
        <v>130</v>
      </c>
      <c r="BM578">
        <v>1</v>
      </c>
      <c r="BN578">
        <v>0</v>
      </c>
      <c r="BO578">
        <v>0</v>
      </c>
      <c r="BP578">
        <v>0</v>
      </c>
      <c r="BT578">
        <v>0</v>
      </c>
      <c r="BU578">
        <v>0</v>
      </c>
      <c r="CE578" t="str">
        <f>"20:22:53.039"</f>
        <v>20:22:53.039</v>
      </c>
      <c r="CF578">
        <v>38784787</v>
      </c>
      <c r="CS578">
        <v>0</v>
      </c>
      <c r="CT578">
        <v>2</v>
      </c>
      <c r="CU578">
        <v>0</v>
      </c>
      <c r="CV578">
        <v>2</v>
      </c>
      <c r="CW578">
        <v>0</v>
      </c>
      <c r="CX578">
        <v>2</v>
      </c>
      <c r="CY578">
        <v>7</v>
      </c>
      <c r="CZ578" t="s">
        <v>131</v>
      </c>
      <c r="DA578">
        <v>116</v>
      </c>
      <c r="DB578">
        <v>3</v>
      </c>
      <c r="DC578" t="s">
        <v>132</v>
      </c>
      <c r="DD578" t="s">
        <v>133</v>
      </c>
      <c r="DG578">
        <v>8312776</v>
      </c>
      <c r="DI578">
        <v>0</v>
      </c>
      <c r="DJ578">
        <v>0</v>
      </c>
      <c r="DK578">
        <v>1</v>
      </c>
      <c r="DL578">
        <v>0</v>
      </c>
      <c r="DM578">
        <v>0</v>
      </c>
      <c r="DN578">
        <v>0</v>
      </c>
      <c r="DO578">
        <v>0</v>
      </c>
      <c r="DP578">
        <v>1</v>
      </c>
      <c r="DQ578">
        <v>0</v>
      </c>
      <c r="DR578">
        <v>0</v>
      </c>
      <c r="DS578">
        <v>0</v>
      </c>
    </row>
    <row r="579" spans="1:123" x14ac:dyDescent="0.25">
      <c r="A579" t="str">
        <f>"11/29/2023 20:22:54.774"</f>
        <v>11/29/2023 20:22:54.774</v>
      </c>
      <c r="C579" t="str">
        <f t="shared" si="68"/>
        <v>FFDF53C0</v>
      </c>
      <c r="D579" t="s">
        <v>135</v>
      </c>
      <c r="E579">
        <v>31</v>
      </c>
      <c r="H579">
        <v>285</v>
      </c>
      <c r="I579" t="s">
        <v>136</v>
      </c>
      <c r="J579" t="s">
        <v>137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"20:22:54.438"</f>
        <v>20:22:54.438</v>
      </c>
      <c r="T579" t="str">
        <f>"20:22:54.238"</f>
        <v>20:22:54.238</v>
      </c>
      <c r="U579" t="str">
        <f t="shared" si="71"/>
        <v>AA0632</v>
      </c>
      <c r="V579">
        <v>0</v>
      </c>
      <c r="W579">
        <v>0</v>
      </c>
      <c r="X579">
        <v>2</v>
      </c>
      <c r="Y579">
        <v>0</v>
      </c>
      <c r="AA579">
        <v>0</v>
      </c>
      <c r="AB579">
        <v>9</v>
      </c>
      <c r="AC579">
        <v>3</v>
      </c>
      <c r="AD579">
        <v>0</v>
      </c>
      <c r="AE579">
        <v>10</v>
      </c>
      <c r="AF579" t="s">
        <v>126</v>
      </c>
      <c r="AG579">
        <v>0</v>
      </c>
      <c r="AH579">
        <v>0</v>
      </c>
      <c r="AI579">
        <v>2</v>
      </c>
      <c r="AJ579">
        <v>0</v>
      </c>
      <c r="AK579" t="s">
        <v>424</v>
      </c>
      <c r="AL579">
        <v>31.936011000000001</v>
      </c>
      <c r="AM579" t="s">
        <v>425</v>
      </c>
      <c r="AN579">
        <v>-101.076193</v>
      </c>
      <c r="AQ579" t="s">
        <v>129</v>
      </c>
      <c r="AR579">
        <v>79</v>
      </c>
      <c r="AS579">
        <v>-49</v>
      </c>
      <c r="AT579">
        <v>-64</v>
      </c>
      <c r="BB579" t="str">
        <f t="shared" si="72"/>
        <v>1200</v>
      </c>
      <c r="BC579">
        <v>1</v>
      </c>
      <c r="BD579" t="str">
        <f t="shared" si="66"/>
        <v xml:space="preserve">N745MB  </v>
      </c>
      <c r="BE579">
        <v>1</v>
      </c>
      <c r="BG579">
        <v>0</v>
      </c>
      <c r="BH579">
        <v>0</v>
      </c>
      <c r="BI579">
        <v>0</v>
      </c>
      <c r="BL579" t="s">
        <v>130</v>
      </c>
      <c r="BM579">
        <v>1</v>
      </c>
      <c r="BN579">
        <v>0</v>
      </c>
      <c r="BO579">
        <v>0</v>
      </c>
      <c r="BP579">
        <v>0</v>
      </c>
      <c r="BT579">
        <v>0</v>
      </c>
      <c r="BU579">
        <v>0</v>
      </c>
      <c r="CE579" t="str">
        <f>"20:22:54.441"</f>
        <v>20:22:54.441</v>
      </c>
      <c r="CF579">
        <v>440689729</v>
      </c>
      <c r="CS579">
        <v>0</v>
      </c>
      <c r="CT579">
        <v>2</v>
      </c>
      <c r="CU579">
        <v>0</v>
      </c>
      <c r="CV579">
        <v>2</v>
      </c>
      <c r="CW579">
        <v>0</v>
      </c>
      <c r="CX579">
        <v>2</v>
      </c>
      <c r="CY579">
        <v>7</v>
      </c>
      <c r="CZ579" t="s">
        <v>131</v>
      </c>
      <c r="DA579">
        <v>116</v>
      </c>
      <c r="DB579">
        <v>0</v>
      </c>
      <c r="DC579" t="s">
        <v>132</v>
      </c>
      <c r="DD579" t="s">
        <v>133</v>
      </c>
      <c r="DG579">
        <v>14518665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1</v>
      </c>
      <c r="DQ579">
        <v>0</v>
      </c>
      <c r="DR579">
        <v>0</v>
      </c>
      <c r="DS579">
        <v>0</v>
      </c>
    </row>
    <row r="580" spans="1:123" x14ac:dyDescent="0.25">
      <c r="A580" t="str">
        <f>"11/29/2023 20:22:54.774"</f>
        <v>11/29/2023 20:22:54.774</v>
      </c>
      <c r="C580" t="str">
        <f t="shared" ref="C580:C611" si="73">"FFDF53C0"</f>
        <v>FFDF53C0</v>
      </c>
      <c r="D580" t="s">
        <v>123</v>
      </c>
      <c r="E580">
        <v>1</v>
      </c>
      <c r="F580">
        <v>1001</v>
      </c>
      <c r="G580" t="s">
        <v>134</v>
      </c>
      <c r="J580" t="s">
        <v>125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"20:22:54.438"</f>
        <v>20:22:54.438</v>
      </c>
      <c r="T580" t="str">
        <f>"20:22:54.238"</f>
        <v>20:22:54.238</v>
      </c>
      <c r="U580" t="str">
        <f t="shared" si="71"/>
        <v>AA0632</v>
      </c>
      <c r="V580">
        <v>0</v>
      </c>
      <c r="W580">
        <v>0</v>
      </c>
      <c r="X580">
        <v>2</v>
      </c>
      <c r="Y580">
        <v>0</v>
      </c>
      <c r="AA580">
        <v>0</v>
      </c>
      <c r="AB580">
        <v>9</v>
      </c>
      <c r="AC580">
        <v>3</v>
      </c>
      <c r="AD580">
        <v>0</v>
      </c>
      <c r="AE580">
        <v>10</v>
      </c>
      <c r="AF580" t="s">
        <v>126</v>
      </c>
      <c r="AG580">
        <v>0</v>
      </c>
      <c r="AH580">
        <v>0</v>
      </c>
      <c r="AI580">
        <v>2</v>
      </c>
      <c r="AJ580">
        <v>0</v>
      </c>
      <c r="AK580" t="s">
        <v>424</v>
      </c>
      <c r="AL580">
        <v>31.936011000000001</v>
      </c>
      <c r="AM580" t="s">
        <v>425</v>
      </c>
      <c r="AN580">
        <v>-101.076193</v>
      </c>
      <c r="AQ580" t="s">
        <v>129</v>
      </c>
      <c r="AR580">
        <v>79</v>
      </c>
      <c r="AS580">
        <v>-49</v>
      </c>
      <c r="AT580">
        <v>-64</v>
      </c>
      <c r="BB580" t="str">
        <f t="shared" si="72"/>
        <v>1200</v>
      </c>
      <c r="BC580">
        <v>1</v>
      </c>
      <c r="BD580" t="str">
        <f t="shared" si="66"/>
        <v xml:space="preserve">N745MB  </v>
      </c>
      <c r="BE580">
        <v>1</v>
      </c>
      <c r="BG580">
        <v>0</v>
      </c>
      <c r="BH580">
        <v>0</v>
      </c>
      <c r="BI580">
        <v>0</v>
      </c>
      <c r="BL580" t="s">
        <v>130</v>
      </c>
      <c r="BM580">
        <v>1</v>
      </c>
      <c r="BN580">
        <v>0</v>
      </c>
      <c r="BO580">
        <v>0</v>
      </c>
      <c r="BP580">
        <v>0</v>
      </c>
      <c r="BT580">
        <v>0</v>
      </c>
      <c r="BU580">
        <v>0</v>
      </c>
      <c r="CE580" t="str">
        <f>"20:22:54.441"</f>
        <v>20:22:54.441</v>
      </c>
      <c r="CF580">
        <v>440689729</v>
      </c>
      <c r="CS580">
        <v>0</v>
      </c>
      <c r="CT580">
        <v>2</v>
      </c>
      <c r="CU580">
        <v>0</v>
      </c>
      <c r="CV580">
        <v>2</v>
      </c>
      <c r="CW580">
        <v>0</v>
      </c>
      <c r="CX580">
        <v>2</v>
      </c>
      <c r="CY580">
        <v>7</v>
      </c>
      <c r="CZ580" t="s">
        <v>131</v>
      </c>
      <c r="DA580">
        <v>116</v>
      </c>
      <c r="DB580">
        <v>0</v>
      </c>
      <c r="DC580" t="s">
        <v>132</v>
      </c>
      <c r="DD580" t="s">
        <v>133</v>
      </c>
      <c r="DG580">
        <v>14518665</v>
      </c>
      <c r="DI580">
        <v>0</v>
      </c>
      <c r="DJ580">
        <v>0</v>
      </c>
      <c r="DK580">
        <v>1</v>
      </c>
      <c r="DL580">
        <v>0</v>
      </c>
      <c r="DM580">
        <v>0</v>
      </c>
      <c r="DN580">
        <v>0</v>
      </c>
      <c r="DO580">
        <v>0</v>
      </c>
      <c r="DP580">
        <v>1</v>
      </c>
      <c r="DQ580">
        <v>0</v>
      </c>
      <c r="DR580">
        <v>0</v>
      </c>
      <c r="DS580">
        <v>0</v>
      </c>
    </row>
    <row r="581" spans="1:123" x14ac:dyDescent="0.25">
      <c r="A581" t="str">
        <f>"11/29/2023 20:22:54.774"</f>
        <v>11/29/2023 20:22:54.774</v>
      </c>
      <c r="C581" t="str">
        <f t="shared" si="73"/>
        <v>FFDF53C0</v>
      </c>
      <c r="D581" t="s">
        <v>138</v>
      </c>
      <c r="E581">
        <v>3</v>
      </c>
      <c r="H581">
        <v>160</v>
      </c>
      <c r="I581" t="s">
        <v>124</v>
      </c>
      <c r="J581" t="s">
        <v>139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"20:22:54.438"</f>
        <v>20:22:54.438</v>
      </c>
      <c r="T581" t="str">
        <f>"20:22:54.238"</f>
        <v>20:22:54.238</v>
      </c>
      <c r="U581" t="str">
        <f t="shared" si="71"/>
        <v>AA0632</v>
      </c>
      <c r="V581">
        <v>0</v>
      </c>
      <c r="W581">
        <v>0</v>
      </c>
      <c r="X581">
        <v>2</v>
      </c>
      <c r="Y581">
        <v>0</v>
      </c>
      <c r="AA581">
        <v>0</v>
      </c>
      <c r="AB581">
        <v>9</v>
      </c>
      <c r="AC581">
        <v>3</v>
      </c>
      <c r="AD581">
        <v>0</v>
      </c>
      <c r="AE581">
        <v>10</v>
      </c>
      <c r="AF581" t="s">
        <v>126</v>
      </c>
      <c r="AG581">
        <v>0</v>
      </c>
      <c r="AH581">
        <v>0</v>
      </c>
      <c r="AI581">
        <v>2</v>
      </c>
      <c r="AJ581">
        <v>0</v>
      </c>
      <c r="AK581" t="s">
        <v>424</v>
      </c>
      <c r="AL581">
        <v>31.936011000000001</v>
      </c>
      <c r="AM581" t="s">
        <v>425</v>
      </c>
      <c r="AN581">
        <v>-101.076193</v>
      </c>
      <c r="AQ581" t="s">
        <v>129</v>
      </c>
      <c r="AR581">
        <v>79</v>
      </c>
      <c r="AS581">
        <v>-49</v>
      </c>
      <c r="AT581">
        <v>-64</v>
      </c>
      <c r="BB581" t="str">
        <f t="shared" si="72"/>
        <v>1200</v>
      </c>
      <c r="BC581">
        <v>1</v>
      </c>
      <c r="BD581" t="str">
        <f t="shared" si="66"/>
        <v xml:space="preserve">N745MB  </v>
      </c>
      <c r="BE581">
        <v>1</v>
      </c>
      <c r="BG581">
        <v>0</v>
      </c>
      <c r="BH581">
        <v>0</v>
      </c>
      <c r="BI581">
        <v>0</v>
      </c>
      <c r="BL581" t="s">
        <v>130</v>
      </c>
      <c r="BM581">
        <v>1</v>
      </c>
      <c r="BN581">
        <v>0</v>
      </c>
      <c r="BO581">
        <v>0</v>
      </c>
      <c r="BP581">
        <v>0</v>
      </c>
      <c r="BT581">
        <v>0</v>
      </c>
      <c r="BU581">
        <v>0</v>
      </c>
      <c r="CE581" t="str">
        <f>"20:22:54.441"</f>
        <v>20:22:54.441</v>
      </c>
      <c r="CF581">
        <v>440689729</v>
      </c>
      <c r="CS581">
        <v>0</v>
      </c>
      <c r="CT581">
        <v>2</v>
      </c>
      <c r="CU581">
        <v>0</v>
      </c>
      <c r="CV581">
        <v>2</v>
      </c>
      <c r="CW581">
        <v>0</v>
      </c>
      <c r="CX581">
        <v>2</v>
      </c>
      <c r="CY581">
        <v>7</v>
      </c>
      <c r="CZ581" t="s">
        <v>131</v>
      </c>
      <c r="DA581">
        <v>116</v>
      </c>
      <c r="DB581">
        <v>0</v>
      </c>
      <c r="DC581" t="s">
        <v>132</v>
      </c>
      <c r="DD581" t="s">
        <v>133</v>
      </c>
      <c r="DG581">
        <v>14518665</v>
      </c>
      <c r="DI581">
        <v>0</v>
      </c>
      <c r="DJ581">
        <v>0</v>
      </c>
      <c r="DK581">
        <v>1</v>
      </c>
      <c r="DL581">
        <v>0</v>
      </c>
      <c r="DM581">
        <v>0</v>
      </c>
      <c r="DN581">
        <v>0</v>
      </c>
      <c r="DO581">
        <v>0</v>
      </c>
      <c r="DP581">
        <v>1</v>
      </c>
      <c r="DQ581">
        <v>0</v>
      </c>
      <c r="DR581">
        <v>0</v>
      </c>
      <c r="DS581">
        <v>0</v>
      </c>
    </row>
    <row r="582" spans="1:123" x14ac:dyDescent="0.25">
      <c r="A582" t="str">
        <f>"11/29/2023 20:22:54.774"</f>
        <v>11/29/2023 20:22:54.774</v>
      </c>
      <c r="C582" t="str">
        <f t="shared" si="73"/>
        <v>FFDF53C0</v>
      </c>
      <c r="D582" t="s">
        <v>123</v>
      </c>
      <c r="E582">
        <v>14</v>
      </c>
      <c r="F582">
        <v>1014</v>
      </c>
      <c r="G582" t="s">
        <v>124</v>
      </c>
      <c r="J582" t="s">
        <v>125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"20:22:54.438"</f>
        <v>20:22:54.438</v>
      </c>
      <c r="T582" t="str">
        <f>"20:22:54.238"</f>
        <v>20:22:54.238</v>
      </c>
      <c r="U582" t="str">
        <f t="shared" si="71"/>
        <v>AA0632</v>
      </c>
      <c r="V582">
        <v>0</v>
      </c>
      <c r="W582">
        <v>0</v>
      </c>
      <c r="X582">
        <v>2</v>
      </c>
      <c r="Y582">
        <v>0</v>
      </c>
      <c r="AA582">
        <v>0</v>
      </c>
      <c r="AB582">
        <v>9</v>
      </c>
      <c r="AC582">
        <v>3</v>
      </c>
      <c r="AD582">
        <v>0</v>
      </c>
      <c r="AE582">
        <v>10</v>
      </c>
      <c r="AF582" t="s">
        <v>126</v>
      </c>
      <c r="AG582">
        <v>0</v>
      </c>
      <c r="AH582">
        <v>0</v>
      </c>
      <c r="AI582">
        <v>2</v>
      </c>
      <c r="AJ582">
        <v>0</v>
      </c>
      <c r="AK582" t="s">
        <v>424</v>
      </c>
      <c r="AL582">
        <v>31.936011000000001</v>
      </c>
      <c r="AM582" t="s">
        <v>425</v>
      </c>
      <c r="AN582">
        <v>-101.076193</v>
      </c>
      <c r="AQ582" t="s">
        <v>129</v>
      </c>
      <c r="AR582">
        <v>79</v>
      </c>
      <c r="AS582">
        <v>-49</v>
      </c>
      <c r="AT582">
        <v>-64</v>
      </c>
      <c r="BB582" t="str">
        <f t="shared" si="72"/>
        <v>1200</v>
      </c>
      <c r="BC582">
        <v>1</v>
      </c>
      <c r="BD582" t="str">
        <f t="shared" si="66"/>
        <v xml:space="preserve">N745MB  </v>
      </c>
      <c r="BE582">
        <v>1</v>
      </c>
      <c r="BG582">
        <v>0</v>
      </c>
      <c r="BH582">
        <v>0</v>
      </c>
      <c r="BI582">
        <v>0</v>
      </c>
      <c r="BL582" t="s">
        <v>130</v>
      </c>
      <c r="BM582">
        <v>1</v>
      </c>
      <c r="BN582">
        <v>0</v>
      </c>
      <c r="BO582">
        <v>0</v>
      </c>
      <c r="BP582">
        <v>0</v>
      </c>
      <c r="BT582">
        <v>0</v>
      </c>
      <c r="BU582">
        <v>0</v>
      </c>
      <c r="CE582" t="str">
        <f>"20:22:54.441"</f>
        <v>20:22:54.441</v>
      </c>
      <c r="CF582">
        <v>440689729</v>
      </c>
      <c r="CS582">
        <v>0</v>
      </c>
      <c r="CT582">
        <v>2</v>
      </c>
      <c r="CU582">
        <v>0</v>
      </c>
      <c r="CV582">
        <v>2</v>
      </c>
      <c r="CW582">
        <v>0</v>
      </c>
      <c r="CX582">
        <v>2</v>
      </c>
      <c r="CY582">
        <v>7</v>
      </c>
      <c r="CZ582" t="s">
        <v>131</v>
      </c>
      <c r="DA582">
        <v>116</v>
      </c>
      <c r="DB582">
        <v>0</v>
      </c>
      <c r="DC582" t="s">
        <v>132</v>
      </c>
      <c r="DD582" t="s">
        <v>133</v>
      </c>
      <c r="DG582">
        <v>14518665</v>
      </c>
      <c r="DI582">
        <v>0</v>
      </c>
      <c r="DJ582">
        <v>0</v>
      </c>
      <c r="DK582">
        <v>1</v>
      </c>
      <c r="DL582">
        <v>0</v>
      </c>
      <c r="DM582">
        <v>0</v>
      </c>
      <c r="DN582">
        <v>0</v>
      </c>
      <c r="DO582">
        <v>0</v>
      </c>
      <c r="DP582">
        <v>1</v>
      </c>
      <c r="DQ582">
        <v>0</v>
      </c>
      <c r="DR582">
        <v>0</v>
      </c>
      <c r="DS582">
        <v>0</v>
      </c>
    </row>
    <row r="583" spans="1:123" x14ac:dyDescent="0.25">
      <c r="A583" t="str">
        <f>"11/29/2023 20:22:56.445"</f>
        <v>11/29/2023 20:22:56.445</v>
      </c>
      <c r="C583" t="str">
        <f t="shared" si="73"/>
        <v>FFDF53C0</v>
      </c>
      <c r="D583" t="s">
        <v>135</v>
      </c>
      <c r="E583">
        <v>31</v>
      </c>
      <c r="H583">
        <v>285</v>
      </c>
      <c r="I583" t="s">
        <v>136</v>
      </c>
      <c r="J583" t="s">
        <v>137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"20:22:55.930"</f>
        <v>20:22:55.930</v>
      </c>
      <c r="T583" t="str">
        <f>"20:22:55.530"</f>
        <v>20:22:55.530</v>
      </c>
      <c r="U583" t="str">
        <f t="shared" si="71"/>
        <v>AA0632</v>
      </c>
      <c r="V583">
        <v>0</v>
      </c>
      <c r="W583">
        <v>0</v>
      </c>
      <c r="X583">
        <v>2</v>
      </c>
      <c r="Y583">
        <v>0</v>
      </c>
      <c r="AA583">
        <v>0</v>
      </c>
      <c r="AB583">
        <v>9</v>
      </c>
      <c r="AC583">
        <v>3</v>
      </c>
      <c r="AD583">
        <v>0</v>
      </c>
      <c r="AE583">
        <v>10</v>
      </c>
      <c r="AF583" t="s">
        <v>126</v>
      </c>
      <c r="AG583">
        <v>0</v>
      </c>
      <c r="AH583">
        <v>0</v>
      </c>
      <c r="AI583">
        <v>2</v>
      </c>
      <c r="AJ583">
        <v>0</v>
      </c>
      <c r="AK583" t="s">
        <v>426</v>
      </c>
      <c r="AL583">
        <v>31.935668</v>
      </c>
      <c r="AM583" t="s">
        <v>427</v>
      </c>
      <c r="AN583">
        <v>-101.075571</v>
      </c>
      <c r="AQ583" t="s">
        <v>129</v>
      </c>
      <c r="AR583">
        <v>78</v>
      </c>
      <c r="AS583">
        <v>-49</v>
      </c>
      <c r="AT583">
        <v>-128</v>
      </c>
      <c r="BB583" t="str">
        <f t="shared" si="72"/>
        <v>1200</v>
      </c>
      <c r="BC583">
        <v>1</v>
      </c>
      <c r="BD583" t="str">
        <f t="shared" si="66"/>
        <v xml:space="preserve">N745MB  </v>
      </c>
      <c r="BE583">
        <v>1</v>
      </c>
      <c r="BG583">
        <v>0</v>
      </c>
      <c r="BH583">
        <v>0</v>
      </c>
      <c r="BI583">
        <v>0</v>
      </c>
      <c r="BL583" t="s">
        <v>130</v>
      </c>
      <c r="BM583">
        <v>1</v>
      </c>
      <c r="BN583">
        <v>0</v>
      </c>
      <c r="BO583">
        <v>0</v>
      </c>
      <c r="BP583">
        <v>0</v>
      </c>
      <c r="BT583">
        <v>0</v>
      </c>
      <c r="BU583">
        <v>0</v>
      </c>
      <c r="CE583" t="str">
        <f>"20:22:55.937"</f>
        <v>20:22:55.937</v>
      </c>
      <c r="CF583">
        <v>936609600</v>
      </c>
      <c r="CS583">
        <v>0</v>
      </c>
      <c r="CT583">
        <v>2</v>
      </c>
      <c r="CU583">
        <v>0</v>
      </c>
      <c r="CV583">
        <v>2</v>
      </c>
      <c r="CW583">
        <v>0</v>
      </c>
      <c r="CX583">
        <v>2</v>
      </c>
      <c r="CY583">
        <v>7</v>
      </c>
      <c r="CZ583" t="s">
        <v>131</v>
      </c>
      <c r="DA583">
        <v>116</v>
      </c>
      <c r="DB583">
        <v>0</v>
      </c>
      <c r="DC583" t="s">
        <v>132</v>
      </c>
      <c r="DD583" t="s">
        <v>133</v>
      </c>
      <c r="DG583">
        <v>14519894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1</v>
      </c>
      <c r="DQ583">
        <v>0</v>
      </c>
      <c r="DR583">
        <v>0</v>
      </c>
      <c r="DS583">
        <v>0</v>
      </c>
    </row>
    <row r="584" spans="1:123" x14ac:dyDescent="0.25">
      <c r="A584" t="str">
        <f>"11/29/2023 20:22:56.445"</f>
        <v>11/29/2023 20:22:56.445</v>
      </c>
      <c r="C584" t="str">
        <f t="shared" si="73"/>
        <v>FFDF53C0</v>
      </c>
      <c r="D584" t="s">
        <v>123</v>
      </c>
      <c r="E584">
        <v>1</v>
      </c>
      <c r="F584">
        <v>1001</v>
      </c>
      <c r="G584" t="s">
        <v>134</v>
      </c>
      <c r="J584" t="s">
        <v>125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"20:22:55.930"</f>
        <v>20:22:55.930</v>
      </c>
      <c r="T584" t="str">
        <f>"20:22:55.530"</f>
        <v>20:22:55.530</v>
      </c>
      <c r="U584" t="str">
        <f t="shared" si="71"/>
        <v>AA0632</v>
      </c>
      <c r="V584">
        <v>0</v>
      </c>
      <c r="W584">
        <v>0</v>
      </c>
      <c r="X584">
        <v>2</v>
      </c>
      <c r="Y584">
        <v>0</v>
      </c>
      <c r="AA584">
        <v>0</v>
      </c>
      <c r="AB584">
        <v>9</v>
      </c>
      <c r="AC584">
        <v>3</v>
      </c>
      <c r="AD584">
        <v>0</v>
      </c>
      <c r="AE584">
        <v>10</v>
      </c>
      <c r="AF584" t="s">
        <v>126</v>
      </c>
      <c r="AG584">
        <v>0</v>
      </c>
      <c r="AH584">
        <v>0</v>
      </c>
      <c r="AI584">
        <v>2</v>
      </c>
      <c r="AJ584">
        <v>0</v>
      </c>
      <c r="AK584" t="s">
        <v>426</v>
      </c>
      <c r="AL584">
        <v>31.935668</v>
      </c>
      <c r="AM584" t="s">
        <v>427</v>
      </c>
      <c r="AN584">
        <v>-101.075571</v>
      </c>
      <c r="AQ584" t="s">
        <v>129</v>
      </c>
      <c r="AR584">
        <v>78</v>
      </c>
      <c r="AS584">
        <v>-49</v>
      </c>
      <c r="AT584">
        <v>-128</v>
      </c>
      <c r="BB584" t="str">
        <f t="shared" si="72"/>
        <v>1200</v>
      </c>
      <c r="BC584">
        <v>1</v>
      </c>
      <c r="BD584" t="str">
        <f t="shared" si="66"/>
        <v xml:space="preserve">N745MB  </v>
      </c>
      <c r="BE584">
        <v>1</v>
      </c>
      <c r="BG584">
        <v>0</v>
      </c>
      <c r="BH584">
        <v>0</v>
      </c>
      <c r="BI584">
        <v>0</v>
      </c>
      <c r="BL584" t="s">
        <v>130</v>
      </c>
      <c r="BM584">
        <v>1</v>
      </c>
      <c r="BN584">
        <v>0</v>
      </c>
      <c r="BO584">
        <v>0</v>
      </c>
      <c r="BP584">
        <v>0</v>
      </c>
      <c r="BT584">
        <v>0</v>
      </c>
      <c r="BU584">
        <v>0</v>
      </c>
      <c r="CE584" t="str">
        <f>"20:22:55.937"</f>
        <v>20:22:55.937</v>
      </c>
      <c r="CF584">
        <v>936609600</v>
      </c>
      <c r="CS584">
        <v>0</v>
      </c>
      <c r="CT584">
        <v>2</v>
      </c>
      <c r="CU584">
        <v>0</v>
      </c>
      <c r="CV584">
        <v>2</v>
      </c>
      <c r="CW584">
        <v>0</v>
      </c>
      <c r="CX584">
        <v>2</v>
      </c>
      <c r="CY584">
        <v>7</v>
      </c>
      <c r="CZ584" t="s">
        <v>131</v>
      </c>
      <c r="DA584">
        <v>116</v>
      </c>
      <c r="DB584">
        <v>0</v>
      </c>
      <c r="DC584" t="s">
        <v>132</v>
      </c>
      <c r="DD584" t="s">
        <v>133</v>
      </c>
      <c r="DG584">
        <v>14519894</v>
      </c>
      <c r="DI584">
        <v>0</v>
      </c>
      <c r="DJ584">
        <v>0</v>
      </c>
      <c r="DK584">
        <v>1</v>
      </c>
      <c r="DL584">
        <v>0</v>
      </c>
      <c r="DM584">
        <v>0</v>
      </c>
      <c r="DN584">
        <v>0</v>
      </c>
      <c r="DO584">
        <v>0</v>
      </c>
      <c r="DP584">
        <v>1</v>
      </c>
      <c r="DQ584">
        <v>0</v>
      </c>
      <c r="DR584">
        <v>0</v>
      </c>
      <c r="DS584">
        <v>0</v>
      </c>
    </row>
    <row r="585" spans="1:123" x14ac:dyDescent="0.25">
      <c r="A585" t="str">
        <f>"11/29/2023 20:22:56.445"</f>
        <v>11/29/2023 20:22:56.445</v>
      </c>
      <c r="C585" t="str">
        <f t="shared" si="73"/>
        <v>FFDF53C0</v>
      </c>
      <c r="D585" t="s">
        <v>138</v>
      </c>
      <c r="E585">
        <v>3</v>
      </c>
      <c r="H585">
        <v>160</v>
      </c>
      <c r="I585" t="s">
        <v>124</v>
      </c>
      <c r="J585" t="s">
        <v>139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"20:22:55.930"</f>
        <v>20:22:55.930</v>
      </c>
      <c r="T585" t="str">
        <f>"20:22:55.530"</f>
        <v>20:22:55.530</v>
      </c>
      <c r="U585" t="str">
        <f t="shared" si="71"/>
        <v>AA0632</v>
      </c>
      <c r="V585">
        <v>0</v>
      </c>
      <c r="W585">
        <v>0</v>
      </c>
      <c r="X585">
        <v>2</v>
      </c>
      <c r="Y585">
        <v>0</v>
      </c>
      <c r="AA585">
        <v>0</v>
      </c>
      <c r="AB585">
        <v>9</v>
      </c>
      <c r="AC585">
        <v>3</v>
      </c>
      <c r="AD585">
        <v>0</v>
      </c>
      <c r="AE585">
        <v>10</v>
      </c>
      <c r="AF585" t="s">
        <v>126</v>
      </c>
      <c r="AG585">
        <v>0</v>
      </c>
      <c r="AH585">
        <v>0</v>
      </c>
      <c r="AI585">
        <v>2</v>
      </c>
      <c r="AJ585">
        <v>0</v>
      </c>
      <c r="AK585" t="s">
        <v>426</v>
      </c>
      <c r="AL585">
        <v>31.935668</v>
      </c>
      <c r="AM585" t="s">
        <v>427</v>
      </c>
      <c r="AN585">
        <v>-101.075571</v>
      </c>
      <c r="AQ585" t="s">
        <v>129</v>
      </c>
      <c r="AR585">
        <v>78</v>
      </c>
      <c r="AS585">
        <v>-49</v>
      </c>
      <c r="AT585">
        <v>-128</v>
      </c>
      <c r="BB585" t="str">
        <f t="shared" si="72"/>
        <v>1200</v>
      </c>
      <c r="BC585">
        <v>1</v>
      </c>
      <c r="BD585" t="str">
        <f t="shared" si="66"/>
        <v xml:space="preserve">N745MB  </v>
      </c>
      <c r="BE585">
        <v>1</v>
      </c>
      <c r="BG585">
        <v>0</v>
      </c>
      <c r="BH585">
        <v>0</v>
      </c>
      <c r="BI585">
        <v>0</v>
      </c>
      <c r="BL585" t="s">
        <v>130</v>
      </c>
      <c r="BM585">
        <v>1</v>
      </c>
      <c r="BN585">
        <v>0</v>
      </c>
      <c r="BO585">
        <v>0</v>
      </c>
      <c r="BP585">
        <v>0</v>
      </c>
      <c r="BT585">
        <v>0</v>
      </c>
      <c r="BU585">
        <v>0</v>
      </c>
      <c r="CE585" t="str">
        <f>"20:22:55.937"</f>
        <v>20:22:55.937</v>
      </c>
      <c r="CF585">
        <v>936609600</v>
      </c>
      <c r="CS585">
        <v>0</v>
      </c>
      <c r="CT585">
        <v>2</v>
      </c>
      <c r="CU585">
        <v>0</v>
      </c>
      <c r="CV585">
        <v>2</v>
      </c>
      <c r="CW585">
        <v>0</v>
      </c>
      <c r="CX585">
        <v>2</v>
      </c>
      <c r="CY585">
        <v>7</v>
      </c>
      <c r="CZ585" t="s">
        <v>131</v>
      </c>
      <c r="DA585">
        <v>116</v>
      </c>
      <c r="DB585">
        <v>0</v>
      </c>
      <c r="DC585" t="s">
        <v>132</v>
      </c>
      <c r="DD585" t="s">
        <v>133</v>
      </c>
      <c r="DG585">
        <v>14519894</v>
      </c>
      <c r="DI585">
        <v>0</v>
      </c>
      <c r="DJ585">
        <v>0</v>
      </c>
      <c r="DK585">
        <v>1</v>
      </c>
      <c r="DL585">
        <v>0</v>
      </c>
      <c r="DM585">
        <v>0</v>
      </c>
      <c r="DN585">
        <v>0</v>
      </c>
      <c r="DO585">
        <v>0</v>
      </c>
      <c r="DP585">
        <v>1</v>
      </c>
      <c r="DQ585">
        <v>0</v>
      </c>
      <c r="DR585">
        <v>0</v>
      </c>
      <c r="DS585">
        <v>0</v>
      </c>
    </row>
    <row r="586" spans="1:123" x14ac:dyDescent="0.25">
      <c r="A586" t="str">
        <f>"11/29/2023 20:22:58.555"</f>
        <v>11/29/2023 20:22:58.555</v>
      </c>
      <c r="C586" t="str">
        <f t="shared" si="73"/>
        <v>FFDF53C0</v>
      </c>
      <c r="D586" t="s">
        <v>123</v>
      </c>
      <c r="E586">
        <v>14</v>
      </c>
      <c r="F586">
        <v>1014</v>
      </c>
      <c r="G586" t="s">
        <v>124</v>
      </c>
      <c r="J586" t="s">
        <v>125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"20:22:58.258"</f>
        <v>20:22:58.258</v>
      </c>
      <c r="T586" t="str">
        <f>"20:22:57.958"</f>
        <v>20:22:57.958</v>
      </c>
      <c r="U586" t="str">
        <f t="shared" si="71"/>
        <v>AA0632</v>
      </c>
      <c r="V586">
        <v>0</v>
      </c>
      <c r="W586">
        <v>0</v>
      </c>
      <c r="X586">
        <v>2</v>
      </c>
      <c r="Y586">
        <v>0</v>
      </c>
      <c r="AA586">
        <v>0</v>
      </c>
      <c r="AB586">
        <v>9</v>
      </c>
      <c r="AC586">
        <v>3</v>
      </c>
      <c r="AD586">
        <v>0</v>
      </c>
      <c r="AE586">
        <v>10</v>
      </c>
      <c r="AF586" t="s">
        <v>126</v>
      </c>
      <c r="AG586">
        <v>0</v>
      </c>
      <c r="AH586">
        <v>0</v>
      </c>
      <c r="AI586">
        <v>2</v>
      </c>
      <c r="AJ586">
        <v>0</v>
      </c>
      <c r="AK586" t="s">
        <v>428</v>
      </c>
      <c r="AL586">
        <v>31.935153</v>
      </c>
      <c r="AM586" t="s">
        <v>429</v>
      </c>
      <c r="AN586">
        <v>-101.074541</v>
      </c>
      <c r="AQ586" t="s">
        <v>129</v>
      </c>
      <c r="AR586">
        <v>78</v>
      </c>
      <c r="AS586">
        <v>-50</v>
      </c>
      <c r="AT586">
        <v>128</v>
      </c>
      <c r="BB586" t="str">
        <f t="shared" si="72"/>
        <v>1200</v>
      </c>
      <c r="BC586">
        <v>1</v>
      </c>
      <c r="BD586" t="str">
        <f t="shared" si="66"/>
        <v xml:space="preserve">N745MB  </v>
      </c>
      <c r="BE586">
        <v>1</v>
      </c>
      <c r="BG586">
        <v>0</v>
      </c>
      <c r="BH586">
        <v>0</v>
      </c>
      <c r="BI586">
        <v>0</v>
      </c>
      <c r="BL586" t="s">
        <v>130</v>
      </c>
      <c r="BM586">
        <v>1</v>
      </c>
      <c r="BN586">
        <v>0</v>
      </c>
      <c r="BO586">
        <v>0</v>
      </c>
      <c r="BP586">
        <v>0</v>
      </c>
      <c r="BT586">
        <v>0</v>
      </c>
      <c r="BU586">
        <v>0</v>
      </c>
      <c r="CE586" t="str">
        <f>"20:22:58.258"</f>
        <v>20:22:58.258</v>
      </c>
      <c r="CF586">
        <v>258431280</v>
      </c>
      <c r="CS586">
        <v>0</v>
      </c>
      <c r="CT586">
        <v>2</v>
      </c>
      <c r="CU586">
        <v>0</v>
      </c>
      <c r="CV586">
        <v>2</v>
      </c>
      <c r="CW586">
        <v>0</v>
      </c>
      <c r="CX586">
        <v>2</v>
      </c>
      <c r="CY586">
        <v>7</v>
      </c>
      <c r="CZ586" t="s">
        <v>131</v>
      </c>
      <c r="DA586">
        <v>116</v>
      </c>
      <c r="DB586">
        <v>3</v>
      </c>
      <c r="DC586" t="s">
        <v>132</v>
      </c>
      <c r="DD586" t="s">
        <v>133</v>
      </c>
      <c r="DG586">
        <v>8315614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1</v>
      </c>
      <c r="DQ586">
        <v>0</v>
      </c>
      <c r="DR586">
        <v>0</v>
      </c>
      <c r="DS586">
        <v>0</v>
      </c>
    </row>
    <row r="587" spans="1:123" x14ac:dyDescent="0.25">
      <c r="A587" t="str">
        <f>"11/29/2023 20:22:58.555"</f>
        <v>11/29/2023 20:22:58.555</v>
      </c>
      <c r="C587" t="str">
        <f t="shared" si="73"/>
        <v>FFDF53C0</v>
      </c>
      <c r="D587" t="s">
        <v>138</v>
      </c>
      <c r="E587">
        <v>3</v>
      </c>
      <c r="H587">
        <v>160</v>
      </c>
      <c r="I587" t="s">
        <v>124</v>
      </c>
      <c r="J587" t="s">
        <v>139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"20:22:58.258"</f>
        <v>20:22:58.258</v>
      </c>
      <c r="T587" t="str">
        <f>"20:22:57.958"</f>
        <v>20:22:57.958</v>
      </c>
      <c r="U587" t="str">
        <f t="shared" si="71"/>
        <v>AA0632</v>
      </c>
      <c r="V587">
        <v>0</v>
      </c>
      <c r="W587">
        <v>0</v>
      </c>
      <c r="X587">
        <v>2</v>
      </c>
      <c r="Y587">
        <v>0</v>
      </c>
      <c r="AA587">
        <v>0</v>
      </c>
      <c r="AB587">
        <v>9</v>
      </c>
      <c r="AC587">
        <v>3</v>
      </c>
      <c r="AD587">
        <v>0</v>
      </c>
      <c r="AE587">
        <v>10</v>
      </c>
      <c r="AF587" t="s">
        <v>126</v>
      </c>
      <c r="AG587">
        <v>0</v>
      </c>
      <c r="AH587">
        <v>0</v>
      </c>
      <c r="AI587">
        <v>2</v>
      </c>
      <c r="AJ587">
        <v>0</v>
      </c>
      <c r="AK587" t="s">
        <v>428</v>
      </c>
      <c r="AL587">
        <v>31.935153</v>
      </c>
      <c r="AM587" t="s">
        <v>429</v>
      </c>
      <c r="AN587">
        <v>-101.074541</v>
      </c>
      <c r="AQ587" t="s">
        <v>129</v>
      </c>
      <c r="AR587">
        <v>78</v>
      </c>
      <c r="AS587">
        <v>-50</v>
      </c>
      <c r="AT587">
        <v>128</v>
      </c>
      <c r="BB587" t="str">
        <f t="shared" si="72"/>
        <v>1200</v>
      </c>
      <c r="BC587">
        <v>1</v>
      </c>
      <c r="BD587" t="str">
        <f t="shared" si="66"/>
        <v xml:space="preserve">N745MB  </v>
      </c>
      <c r="BE587">
        <v>1</v>
      </c>
      <c r="BG587">
        <v>0</v>
      </c>
      <c r="BH587">
        <v>0</v>
      </c>
      <c r="BI587">
        <v>0</v>
      </c>
      <c r="BL587" t="s">
        <v>130</v>
      </c>
      <c r="BM587">
        <v>1</v>
      </c>
      <c r="BN587">
        <v>0</v>
      </c>
      <c r="BO587">
        <v>0</v>
      </c>
      <c r="BP587">
        <v>0</v>
      </c>
      <c r="BT587">
        <v>0</v>
      </c>
      <c r="BU587">
        <v>0</v>
      </c>
      <c r="CE587" t="str">
        <f>"20:22:58.258"</f>
        <v>20:22:58.258</v>
      </c>
      <c r="CF587">
        <v>258431280</v>
      </c>
      <c r="CS587">
        <v>0</v>
      </c>
      <c r="CT587">
        <v>2</v>
      </c>
      <c r="CU587">
        <v>0</v>
      </c>
      <c r="CV587">
        <v>2</v>
      </c>
      <c r="CW587">
        <v>0</v>
      </c>
      <c r="CX587">
        <v>2</v>
      </c>
      <c r="CY587">
        <v>7</v>
      </c>
      <c r="CZ587" t="s">
        <v>131</v>
      </c>
      <c r="DA587">
        <v>116</v>
      </c>
      <c r="DB587">
        <v>3</v>
      </c>
      <c r="DC587" t="s">
        <v>132</v>
      </c>
      <c r="DD587" t="s">
        <v>133</v>
      </c>
      <c r="DG587">
        <v>8315614</v>
      </c>
      <c r="DI587">
        <v>0</v>
      </c>
      <c r="DJ587">
        <v>0</v>
      </c>
      <c r="DK587">
        <v>1</v>
      </c>
      <c r="DL587">
        <v>0</v>
      </c>
      <c r="DM587">
        <v>0</v>
      </c>
      <c r="DN587">
        <v>0</v>
      </c>
      <c r="DO587">
        <v>0</v>
      </c>
      <c r="DP587">
        <v>1</v>
      </c>
      <c r="DQ587">
        <v>0</v>
      </c>
      <c r="DR587">
        <v>0</v>
      </c>
      <c r="DS587">
        <v>0</v>
      </c>
    </row>
    <row r="588" spans="1:123" x14ac:dyDescent="0.25">
      <c r="A588" t="str">
        <f>"11/29/2023 20:22:58.586"</f>
        <v>11/29/2023 20:22:58.586</v>
      </c>
      <c r="C588" t="str">
        <f t="shared" si="73"/>
        <v>FFDF53C0</v>
      </c>
      <c r="D588" t="s">
        <v>135</v>
      </c>
      <c r="E588">
        <v>31</v>
      </c>
      <c r="H588">
        <v>285</v>
      </c>
      <c r="I588" t="s">
        <v>136</v>
      </c>
      <c r="J588" t="s">
        <v>137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"20:22:58.258"</f>
        <v>20:22:58.258</v>
      </c>
      <c r="T588" t="str">
        <f>"20:22:57.958"</f>
        <v>20:22:57.958</v>
      </c>
      <c r="U588" t="str">
        <f t="shared" si="71"/>
        <v>AA0632</v>
      </c>
      <c r="V588">
        <v>0</v>
      </c>
      <c r="W588">
        <v>0</v>
      </c>
      <c r="X588">
        <v>2</v>
      </c>
      <c r="Y588">
        <v>0</v>
      </c>
      <c r="AA588">
        <v>0</v>
      </c>
      <c r="AB588">
        <v>9</v>
      </c>
      <c r="AC588">
        <v>3</v>
      </c>
      <c r="AD588">
        <v>0</v>
      </c>
      <c r="AE588">
        <v>10</v>
      </c>
      <c r="AF588" t="s">
        <v>126</v>
      </c>
      <c r="AG588">
        <v>0</v>
      </c>
      <c r="AH588">
        <v>0</v>
      </c>
      <c r="AI588">
        <v>2</v>
      </c>
      <c r="AJ588">
        <v>0</v>
      </c>
      <c r="AK588" t="s">
        <v>428</v>
      </c>
      <c r="AL588">
        <v>31.935153</v>
      </c>
      <c r="AM588" t="s">
        <v>429</v>
      </c>
      <c r="AN588">
        <v>-101.074541</v>
      </c>
      <c r="AQ588" t="s">
        <v>129</v>
      </c>
      <c r="AR588">
        <v>78</v>
      </c>
      <c r="AS588">
        <v>-50</v>
      </c>
      <c r="AT588">
        <v>128</v>
      </c>
      <c r="BB588" t="str">
        <f t="shared" si="72"/>
        <v>1200</v>
      </c>
      <c r="BC588">
        <v>1</v>
      </c>
      <c r="BD588" t="str">
        <f t="shared" si="66"/>
        <v xml:space="preserve">N745MB  </v>
      </c>
      <c r="BE588">
        <v>1</v>
      </c>
      <c r="BG588">
        <v>0</v>
      </c>
      <c r="BH588">
        <v>0</v>
      </c>
      <c r="BI588">
        <v>0</v>
      </c>
      <c r="BL588" t="s">
        <v>130</v>
      </c>
      <c r="BM588">
        <v>1</v>
      </c>
      <c r="BN588">
        <v>0</v>
      </c>
      <c r="BO588">
        <v>0</v>
      </c>
      <c r="BP588">
        <v>0</v>
      </c>
      <c r="BT588">
        <v>0</v>
      </c>
      <c r="BU588">
        <v>0</v>
      </c>
      <c r="CE588" t="str">
        <f>"20:22:58.258"</f>
        <v>20:22:58.258</v>
      </c>
      <c r="CF588">
        <v>258431280</v>
      </c>
      <c r="CS588">
        <v>0</v>
      </c>
      <c r="CT588">
        <v>2</v>
      </c>
      <c r="CU588">
        <v>0</v>
      </c>
      <c r="CV588">
        <v>2</v>
      </c>
      <c r="CW588">
        <v>0</v>
      </c>
      <c r="CX588">
        <v>2</v>
      </c>
      <c r="CY588">
        <v>7</v>
      </c>
      <c r="CZ588" t="s">
        <v>131</v>
      </c>
      <c r="DA588">
        <v>116</v>
      </c>
      <c r="DB588">
        <v>3</v>
      </c>
      <c r="DC588" t="s">
        <v>132</v>
      </c>
      <c r="DD588" t="s">
        <v>133</v>
      </c>
      <c r="DG588">
        <v>8315614</v>
      </c>
      <c r="DI588">
        <v>0</v>
      </c>
      <c r="DJ588">
        <v>0</v>
      </c>
      <c r="DK588">
        <v>1</v>
      </c>
      <c r="DL588">
        <v>0</v>
      </c>
      <c r="DM588">
        <v>0</v>
      </c>
      <c r="DN588">
        <v>0</v>
      </c>
      <c r="DO588">
        <v>0</v>
      </c>
      <c r="DP588">
        <v>1</v>
      </c>
      <c r="DQ588">
        <v>0</v>
      </c>
      <c r="DR588">
        <v>0</v>
      </c>
      <c r="DS588">
        <v>0</v>
      </c>
    </row>
    <row r="589" spans="1:123" x14ac:dyDescent="0.25">
      <c r="A589" t="str">
        <f>"11/29/2023 20:22:58.586"</f>
        <v>11/29/2023 20:22:58.586</v>
      </c>
      <c r="C589" t="str">
        <f t="shared" si="73"/>
        <v>FFDF53C0</v>
      </c>
      <c r="D589" t="s">
        <v>123</v>
      </c>
      <c r="E589">
        <v>1</v>
      </c>
      <c r="F589">
        <v>1001</v>
      </c>
      <c r="G589" t="s">
        <v>134</v>
      </c>
      <c r="J589" t="s">
        <v>125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"20:22:58.258"</f>
        <v>20:22:58.258</v>
      </c>
      <c r="T589" t="str">
        <f>"20:22:57.958"</f>
        <v>20:22:57.958</v>
      </c>
      <c r="U589" t="str">
        <f t="shared" si="71"/>
        <v>AA0632</v>
      </c>
      <c r="V589">
        <v>0</v>
      </c>
      <c r="W589">
        <v>0</v>
      </c>
      <c r="X589">
        <v>2</v>
      </c>
      <c r="Y589">
        <v>0</v>
      </c>
      <c r="AA589">
        <v>0</v>
      </c>
      <c r="AB589">
        <v>9</v>
      </c>
      <c r="AC589">
        <v>3</v>
      </c>
      <c r="AD589">
        <v>0</v>
      </c>
      <c r="AE589">
        <v>10</v>
      </c>
      <c r="AF589" t="s">
        <v>126</v>
      </c>
      <c r="AG589">
        <v>0</v>
      </c>
      <c r="AH589">
        <v>0</v>
      </c>
      <c r="AI589">
        <v>2</v>
      </c>
      <c r="AJ589">
        <v>0</v>
      </c>
      <c r="AK589" t="s">
        <v>428</v>
      </c>
      <c r="AL589">
        <v>31.935153</v>
      </c>
      <c r="AM589" t="s">
        <v>429</v>
      </c>
      <c r="AN589">
        <v>-101.074541</v>
      </c>
      <c r="AQ589" t="s">
        <v>129</v>
      </c>
      <c r="AR589">
        <v>78</v>
      </c>
      <c r="AS589">
        <v>-50</v>
      </c>
      <c r="AT589">
        <v>128</v>
      </c>
      <c r="BB589" t="str">
        <f t="shared" si="72"/>
        <v>1200</v>
      </c>
      <c r="BC589">
        <v>1</v>
      </c>
      <c r="BD589" t="str">
        <f t="shared" si="66"/>
        <v xml:space="preserve">N745MB  </v>
      </c>
      <c r="BE589">
        <v>1</v>
      </c>
      <c r="BG589">
        <v>0</v>
      </c>
      <c r="BH589">
        <v>0</v>
      </c>
      <c r="BI589">
        <v>0</v>
      </c>
      <c r="BL589" t="s">
        <v>130</v>
      </c>
      <c r="BM589">
        <v>1</v>
      </c>
      <c r="BN589">
        <v>0</v>
      </c>
      <c r="BO589">
        <v>0</v>
      </c>
      <c r="BP589">
        <v>0</v>
      </c>
      <c r="BT589">
        <v>0</v>
      </c>
      <c r="BU589">
        <v>0</v>
      </c>
      <c r="CE589" t="str">
        <f>"20:22:58.258"</f>
        <v>20:22:58.258</v>
      </c>
      <c r="CF589">
        <v>258431280</v>
      </c>
      <c r="CS589">
        <v>0</v>
      </c>
      <c r="CT589">
        <v>2</v>
      </c>
      <c r="CU589">
        <v>0</v>
      </c>
      <c r="CV589">
        <v>2</v>
      </c>
      <c r="CW589">
        <v>0</v>
      </c>
      <c r="CX589">
        <v>2</v>
      </c>
      <c r="CY589">
        <v>7</v>
      </c>
      <c r="CZ589" t="s">
        <v>131</v>
      </c>
      <c r="DA589">
        <v>116</v>
      </c>
      <c r="DB589">
        <v>3</v>
      </c>
      <c r="DC589" t="s">
        <v>132</v>
      </c>
      <c r="DD589" t="s">
        <v>133</v>
      </c>
      <c r="DG589">
        <v>8315614</v>
      </c>
      <c r="DI589">
        <v>0</v>
      </c>
      <c r="DJ589">
        <v>0</v>
      </c>
      <c r="DK589">
        <v>1</v>
      </c>
      <c r="DL589">
        <v>0</v>
      </c>
      <c r="DM589">
        <v>0</v>
      </c>
      <c r="DN589">
        <v>0</v>
      </c>
      <c r="DO589">
        <v>0</v>
      </c>
      <c r="DP589">
        <v>1</v>
      </c>
      <c r="DQ589">
        <v>0</v>
      </c>
      <c r="DR589">
        <v>0</v>
      </c>
      <c r="DS589">
        <v>0</v>
      </c>
    </row>
    <row r="590" spans="1:123" x14ac:dyDescent="0.25">
      <c r="A590" t="str">
        <f>"11/29/2023 20:23:00.352"</f>
        <v>11/29/2023 20:23:00.352</v>
      </c>
      <c r="C590" t="str">
        <f t="shared" si="73"/>
        <v>FFDF53C0</v>
      </c>
      <c r="D590" t="s">
        <v>123</v>
      </c>
      <c r="E590">
        <v>1</v>
      </c>
      <c r="F590">
        <v>1001</v>
      </c>
      <c r="G590" t="s">
        <v>134</v>
      </c>
      <c r="J590" t="s">
        <v>125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"20:22:59.938"</f>
        <v>20:22:59.938</v>
      </c>
      <c r="T590" t="str">
        <f>"20:22:59.938"</f>
        <v>20:22:59.938</v>
      </c>
      <c r="U590" t="str">
        <f t="shared" si="71"/>
        <v>AA0632</v>
      </c>
      <c r="V590">
        <v>0</v>
      </c>
      <c r="W590">
        <v>0</v>
      </c>
      <c r="X590">
        <v>2</v>
      </c>
      <c r="Y590">
        <v>0</v>
      </c>
      <c r="AA590">
        <v>0</v>
      </c>
      <c r="AB590">
        <v>9</v>
      </c>
      <c r="AC590">
        <v>3</v>
      </c>
      <c r="AD590">
        <v>0</v>
      </c>
      <c r="AE590">
        <v>10</v>
      </c>
      <c r="AF590" t="s">
        <v>126</v>
      </c>
      <c r="AG590">
        <v>0</v>
      </c>
      <c r="AH590">
        <v>0</v>
      </c>
      <c r="AI590">
        <v>2</v>
      </c>
      <c r="AJ590">
        <v>0</v>
      </c>
      <c r="AK590" t="s">
        <v>430</v>
      </c>
      <c r="AL590">
        <v>31.934744999999999</v>
      </c>
      <c r="AM590" t="s">
        <v>431</v>
      </c>
      <c r="AN590">
        <v>-101.07383299999999</v>
      </c>
      <c r="AQ590" t="s">
        <v>129</v>
      </c>
      <c r="AR590">
        <v>78</v>
      </c>
      <c r="AS590">
        <v>-50</v>
      </c>
      <c r="AT590">
        <v>0</v>
      </c>
      <c r="BB590" t="str">
        <f t="shared" si="72"/>
        <v>1200</v>
      </c>
      <c r="BC590">
        <v>1</v>
      </c>
      <c r="BD590" t="str">
        <f t="shared" si="66"/>
        <v xml:space="preserve">N745MB  </v>
      </c>
      <c r="BE590">
        <v>1</v>
      </c>
      <c r="BG590">
        <v>0</v>
      </c>
      <c r="BH590">
        <v>0</v>
      </c>
      <c r="BI590">
        <v>0</v>
      </c>
      <c r="BL590" t="s">
        <v>130</v>
      </c>
      <c r="BM590">
        <v>1</v>
      </c>
      <c r="BN590">
        <v>0</v>
      </c>
      <c r="BO590">
        <v>0</v>
      </c>
      <c r="BP590">
        <v>0</v>
      </c>
      <c r="BT590">
        <v>0</v>
      </c>
      <c r="BU590">
        <v>0</v>
      </c>
      <c r="CE590" t="str">
        <f>"20:22:59.938"</f>
        <v>20:22:59.938</v>
      </c>
      <c r="CF590">
        <v>938317777</v>
      </c>
      <c r="CS590">
        <v>0</v>
      </c>
      <c r="CT590">
        <v>2</v>
      </c>
      <c r="CU590">
        <v>0</v>
      </c>
      <c r="CV590">
        <v>2</v>
      </c>
      <c r="CW590">
        <v>0</v>
      </c>
      <c r="CX590">
        <v>2</v>
      </c>
      <c r="CY590">
        <v>7</v>
      </c>
      <c r="CZ590" t="s">
        <v>131</v>
      </c>
      <c r="DA590">
        <v>116</v>
      </c>
      <c r="DB590">
        <v>0</v>
      </c>
      <c r="DC590" t="s">
        <v>132</v>
      </c>
      <c r="DD590" t="s">
        <v>133</v>
      </c>
      <c r="DG590">
        <v>14523436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1</v>
      </c>
      <c r="DQ590">
        <v>0</v>
      </c>
      <c r="DR590">
        <v>0</v>
      </c>
      <c r="DS590">
        <v>0</v>
      </c>
    </row>
    <row r="591" spans="1:123" x14ac:dyDescent="0.25">
      <c r="A591" t="str">
        <f>"11/29/2023 20:23:01.899"</f>
        <v>11/29/2023 20:23:01.899</v>
      </c>
      <c r="C591" t="str">
        <f t="shared" si="73"/>
        <v>FFDF53C0</v>
      </c>
      <c r="D591" t="s">
        <v>123</v>
      </c>
      <c r="E591">
        <v>1</v>
      </c>
      <c r="F591">
        <v>1001</v>
      </c>
      <c r="G591" t="s">
        <v>134</v>
      </c>
      <c r="J591" t="s">
        <v>125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"20:23:01.469"</f>
        <v>20:23:01.469</v>
      </c>
      <c r="T591" t="str">
        <f>"20:23:00.969"</f>
        <v>20:23:00.969</v>
      </c>
      <c r="U591" t="str">
        <f t="shared" si="71"/>
        <v>AA0632</v>
      </c>
      <c r="V591">
        <v>0</v>
      </c>
      <c r="W591">
        <v>0</v>
      </c>
      <c r="X591">
        <v>2</v>
      </c>
      <c r="Y591">
        <v>0</v>
      </c>
      <c r="AA591">
        <v>0</v>
      </c>
      <c r="AB591">
        <v>9</v>
      </c>
      <c r="AC591">
        <v>3</v>
      </c>
      <c r="AD591">
        <v>0</v>
      </c>
      <c r="AE591">
        <v>10</v>
      </c>
      <c r="AF591" t="s">
        <v>126</v>
      </c>
      <c r="AG591">
        <v>0</v>
      </c>
      <c r="AH591">
        <v>0</v>
      </c>
      <c r="AI591">
        <v>2</v>
      </c>
      <c r="AJ591">
        <v>0</v>
      </c>
      <c r="AK591" t="s">
        <v>432</v>
      </c>
      <c r="AL591">
        <v>31.934422999999999</v>
      </c>
      <c r="AM591" t="s">
        <v>433</v>
      </c>
      <c r="AN591">
        <v>-101.073167</v>
      </c>
      <c r="AQ591" t="s">
        <v>129</v>
      </c>
      <c r="AR591">
        <v>78</v>
      </c>
      <c r="AS591">
        <v>-49</v>
      </c>
      <c r="AT591">
        <v>-64</v>
      </c>
      <c r="BB591" t="str">
        <f t="shared" si="72"/>
        <v>1200</v>
      </c>
      <c r="BC591">
        <v>1</v>
      </c>
      <c r="BD591" t="str">
        <f t="shared" si="66"/>
        <v xml:space="preserve">N745MB  </v>
      </c>
      <c r="BE591">
        <v>1</v>
      </c>
      <c r="BG591">
        <v>0</v>
      </c>
      <c r="BH591">
        <v>0</v>
      </c>
      <c r="BI591">
        <v>0</v>
      </c>
      <c r="BL591" t="s">
        <v>130</v>
      </c>
      <c r="BM591">
        <v>1</v>
      </c>
      <c r="BN591">
        <v>0</v>
      </c>
      <c r="BO591">
        <v>0</v>
      </c>
      <c r="BP591">
        <v>0</v>
      </c>
      <c r="BT591">
        <v>0</v>
      </c>
      <c r="BU591">
        <v>0</v>
      </c>
      <c r="CE591" t="str">
        <f>"20:23:01.472"</f>
        <v>20:23:01.472</v>
      </c>
      <c r="CF591">
        <v>472216108</v>
      </c>
      <c r="CS591">
        <v>0</v>
      </c>
      <c r="CT591">
        <v>2</v>
      </c>
      <c r="CU591">
        <v>0</v>
      </c>
      <c r="CV591">
        <v>2</v>
      </c>
      <c r="CW591">
        <v>0</v>
      </c>
      <c r="CX591">
        <v>3</v>
      </c>
      <c r="CY591">
        <v>7</v>
      </c>
      <c r="CZ591" t="s">
        <v>131</v>
      </c>
      <c r="DA591">
        <v>116</v>
      </c>
      <c r="DB591">
        <v>3</v>
      </c>
      <c r="DC591" t="s">
        <v>132</v>
      </c>
      <c r="DD591" t="s">
        <v>133</v>
      </c>
      <c r="DG591">
        <v>8317412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1</v>
      </c>
      <c r="DQ591">
        <v>0</v>
      </c>
      <c r="DR591">
        <v>0</v>
      </c>
      <c r="DS591">
        <v>0</v>
      </c>
    </row>
    <row r="592" spans="1:123" x14ac:dyDescent="0.25">
      <c r="A592" t="str">
        <f>"11/29/2023 20:23:01.914"</f>
        <v>11/29/2023 20:23:01.914</v>
      </c>
      <c r="C592" t="str">
        <f t="shared" si="73"/>
        <v>FFDF53C0</v>
      </c>
      <c r="D592" t="s">
        <v>138</v>
      </c>
      <c r="E592">
        <v>3</v>
      </c>
      <c r="H592">
        <v>160</v>
      </c>
      <c r="I592" t="s">
        <v>124</v>
      </c>
      <c r="J592" t="s">
        <v>139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"20:23:01.469"</f>
        <v>20:23:01.469</v>
      </c>
      <c r="T592" t="str">
        <f>"20:23:00.969"</f>
        <v>20:23:00.969</v>
      </c>
      <c r="U592" t="str">
        <f t="shared" si="71"/>
        <v>AA0632</v>
      </c>
      <c r="V592">
        <v>0</v>
      </c>
      <c r="W592">
        <v>0</v>
      </c>
      <c r="X592">
        <v>2</v>
      </c>
      <c r="Y592">
        <v>0</v>
      </c>
      <c r="AA592">
        <v>0</v>
      </c>
      <c r="AB592">
        <v>9</v>
      </c>
      <c r="AC592">
        <v>3</v>
      </c>
      <c r="AD592">
        <v>0</v>
      </c>
      <c r="AE592">
        <v>10</v>
      </c>
      <c r="AF592" t="s">
        <v>126</v>
      </c>
      <c r="AG592">
        <v>0</v>
      </c>
      <c r="AH592">
        <v>0</v>
      </c>
      <c r="AI592">
        <v>2</v>
      </c>
      <c r="AJ592">
        <v>0</v>
      </c>
      <c r="AK592" t="s">
        <v>432</v>
      </c>
      <c r="AL592">
        <v>31.934422999999999</v>
      </c>
      <c r="AM592" t="s">
        <v>433</v>
      </c>
      <c r="AN592">
        <v>-101.073167</v>
      </c>
      <c r="AQ592" t="s">
        <v>129</v>
      </c>
      <c r="AR592">
        <v>78</v>
      </c>
      <c r="AS592">
        <v>-49</v>
      </c>
      <c r="AT592">
        <v>-64</v>
      </c>
      <c r="BB592" t="str">
        <f t="shared" si="72"/>
        <v>1200</v>
      </c>
      <c r="BC592">
        <v>1</v>
      </c>
      <c r="BD592" t="str">
        <f t="shared" si="66"/>
        <v xml:space="preserve">N745MB  </v>
      </c>
      <c r="BE592">
        <v>1</v>
      </c>
      <c r="BG592">
        <v>0</v>
      </c>
      <c r="BH592">
        <v>0</v>
      </c>
      <c r="BI592">
        <v>0</v>
      </c>
      <c r="BL592" t="s">
        <v>130</v>
      </c>
      <c r="BM592">
        <v>1</v>
      </c>
      <c r="BN592">
        <v>0</v>
      </c>
      <c r="BO592">
        <v>0</v>
      </c>
      <c r="BP592">
        <v>0</v>
      </c>
      <c r="BT592">
        <v>0</v>
      </c>
      <c r="BU592">
        <v>0</v>
      </c>
      <c r="CE592" t="str">
        <f>"20:23:01.472"</f>
        <v>20:23:01.472</v>
      </c>
      <c r="CF592">
        <v>472216108</v>
      </c>
      <c r="CS592">
        <v>0</v>
      </c>
      <c r="CT592">
        <v>2</v>
      </c>
      <c r="CU592">
        <v>0</v>
      </c>
      <c r="CV592">
        <v>2</v>
      </c>
      <c r="CW592">
        <v>0</v>
      </c>
      <c r="CX592">
        <v>3</v>
      </c>
      <c r="CY592">
        <v>7</v>
      </c>
      <c r="CZ592" t="s">
        <v>131</v>
      </c>
      <c r="DA592">
        <v>116</v>
      </c>
      <c r="DB592">
        <v>3</v>
      </c>
      <c r="DC592" t="s">
        <v>132</v>
      </c>
      <c r="DD592" t="s">
        <v>133</v>
      </c>
      <c r="DG592">
        <v>8317412</v>
      </c>
      <c r="DI592">
        <v>0</v>
      </c>
      <c r="DJ592">
        <v>0</v>
      </c>
      <c r="DK592">
        <v>1</v>
      </c>
      <c r="DL592">
        <v>0</v>
      </c>
      <c r="DM592">
        <v>0</v>
      </c>
      <c r="DN592">
        <v>0</v>
      </c>
      <c r="DO592">
        <v>0</v>
      </c>
      <c r="DP592">
        <v>1</v>
      </c>
      <c r="DQ592">
        <v>0</v>
      </c>
      <c r="DR592">
        <v>0</v>
      </c>
      <c r="DS592">
        <v>0</v>
      </c>
    </row>
    <row r="593" spans="1:123" x14ac:dyDescent="0.25">
      <c r="A593" t="str">
        <f>"11/29/2023 20:23:01.914"</f>
        <v>11/29/2023 20:23:01.914</v>
      </c>
      <c r="C593" t="str">
        <f t="shared" si="73"/>
        <v>FFDF53C0</v>
      </c>
      <c r="D593" t="s">
        <v>123</v>
      </c>
      <c r="E593">
        <v>14</v>
      </c>
      <c r="F593">
        <v>1014</v>
      </c>
      <c r="G593" t="s">
        <v>124</v>
      </c>
      <c r="J593" t="s">
        <v>125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"20:23:01.469"</f>
        <v>20:23:01.469</v>
      </c>
      <c r="T593" t="str">
        <f>"20:23:00.969"</f>
        <v>20:23:00.969</v>
      </c>
      <c r="U593" t="str">
        <f t="shared" si="71"/>
        <v>AA0632</v>
      </c>
      <c r="V593">
        <v>0</v>
      </c>
      <c r="W593">
        <v>0</v>
      </c>
      <c r="X593">
        <v>2</v>
      </c>
      <c r="Y593">
        <v>0</v>
      </c>
      <c r="AA593">
        <v>0</v>
      </c>
      <c r="AB593">
        <v>9</v>
      </c>
      <c r="AC593">
        <v>3</v>
      </c>
      <c r="AD593">
        <v>0</v>
      </c>
      <c r="AE593">
        <v>10</v>
      </c>
      <c r="AF593" t="s">
        <v>126</v>
      </c>
      <c r="AG593">
        <v>0</v>
      </c>
      <c r="AH593">
        <v>0</v>
      </c>
      <c r="AI593">
        <v>2</v>
      </c>
      <c r="AJ593">
        <v>0</v>
      </c>
      <c r="AK593" t="s">
        <v>432</v>
      </c>
      <c r="AL593">
        <v>31.934422999999999</v>
      </c>
      <c r="AM593" t="s">
        <v>433</v>
      </c>
      <c r="AN593">
        <v>-101.073167</v>
      </c>
      <c r="AQ593" t="s">
        <v>129</v>
      </c>
      <c r="AR593">
        <v>78</v>
      </c>
      <c r="AS593">
        <v>-49</v>
      </c>
      <c r="AT593">
        <v>-64</v>
      </c>
      <c r="BB593" t="str">
        <f t="shared" si="72"/>
        <v>1200</v>
      </c>
      <c r="BC593">
        <v>1</v>
      </c>
      <c r="BD593" t="str">
        <f t="shared" si="66"/>
        <v xml:space="preserve">N745MB  </v>
      </c>
      <c r="BE593">
        <v>1</v>
      </c>
      <c r="BG593">
        <v>0</v>
      </c>
      <c r="BH593">
        <v>0</v>
      </c>
      <c r="BI593">
        <v>0</v>
      </c>
      <c r="BL593" t="s">
        <v>130</v>
      </c>
      <c r="BM593">
        <v>1</v>
      </c>
      <c r="BN593">
        <v>0</v>
      </c>
      <c r="BO593">
        <v>0</v>
      </c>
      <c r="BP593">
        <v>0</v>
      </c>
      <c r="BT593">
        <v>0</v>
      </c>
      <c r="BU593">
        <v>0</v>
      </c>
      <c r="CE593" t="str">
        <f>"20:23:01.472"</f>
        <v>20:23:01.472</v>
      </c>
      <c r="CF593">
        <v>472216108</v>
      </c>
      <c r="CS593">
        <v>0</v>
      </c>
      <c r="CT593">
        <v>2</v>
      </c>
      <c r="CU593">
        <v>0</v>
      </c>
      <c r="CV593">
        <v>2</v>
      </c>
      <c r="CW593">
        <v>0</v>
      </c>
      <c r="CX593">
        <v>3</v>
      </c>
      <c r="CY593">
        <v>7</v>
      </c>
      <c r="CZ593" t="s">
        <v>131</v>
      </c>
      <c r="DA593">
        <v>116</v>
      </c>
      <c r="DB593">
        <v>3</v>
      </c>
      <c r="DC593" t="s">
        <v>132</v>
      </c>
      <c r="DD593" t="s">
        <v>133</v>
      </c>
      <c r="DG593">
        <v>8317412</v>
      </c>
      <c r="DI593">
        <v>0</v>
      </c>
      <c r="DJ593">
        <v>0</v>
      </c>
      <c r="DK593">
        <v>1</v>
      </c>
      <c r="DL593">
        <v>0</v>
      </c>
      <c r="DM593">
        <v>0</v>
      </c>
      <c r="DN593">
        <v>0</v>
      </c>
      <c r="DO593">
        <v>0</v>
      </c>
      <c r="DP593">
        <v>1</v>
      </c>
      <c r="DQ593">
        <v>0</v>
      </c>
      <c r="DR593">
        <v>0</v>
      </c>
      <c r="DS593">
        <v>0</v>
      </c>
    </row>
    <row r="594" spans="1:123" x14ac:dyDescent="0.25">
      <c r="A594" t="str">
        <f>"11/29/2023 20:23:01.914"</f>
        <v>11/29/2023 20:23:01.914</v>
      </c>
      <c r="C594" t="str">
        <f t="shared" si="73"/>
        <v>FFDF53C0</v>
      </c>
      <c r="D594" t="s">
        <v>135</v>
      </c>
      <c r="E594">
        <v>31</v>
      </c>
      <c r="H594">
        <v>285</v>
      </c>
      <c r="I594" t="s">
        <v>136</v>
      </c>
      <c r="J594" t="s">
        <v>137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"20:23:01.469"</f>
        <v>20:23:01.469</v>
      </c>
      <c r="T594" t="str">
        <f>"20:23:00.969"</f>
        <v>20:23:00.969</v>
      </c>
      <c r="U594" t="str">
        <f t="shared" si="71"/>
        <v>AA0632</v>
      </c>
      <c r="V594">
        <v>0</v>
      </c>
      <c r="W594">
        <v>0</v>
      </c>
      <c r="X594">
        <v>2</v>
      </c>
      <c r="Y594">
        <v>0</v>
      </c>
      <c r="AA594">
        <v>0</v>
      </c>
      <c r="AB594">
        <v>9</v>
      </c>
      <c r="AC594">
        <v>3</v>
      </c>
      <c r="AD594">
        <v>0</v>
      </c>
      <c r="AE594">
        <v>10</v>
      </c>
      <c r="AF594" t="s">
        <v>126</v>
      </c>
      <c r="AG594">
        <v>0</v>
      </c>
      <c r="AH594">
        <v>0</v>
      </c>
      <c r="AI594">
        <v>2</v>
      </c>
      <c r="AJ594">
        <v>0</v>
      </c>
      <c r="AK594" t="s">
        <v>432</v>
      </c>
      <c r="AL594">
        <v>31.934422999999999</v>
      </c>
      <c r="AM594" t="s">
        <v>433</v>
      </c>
      <c r="AN594">
        <v>-101.073167</v>
      </c>
      <c r="AQ594" t="s">
        <v>129</v>
      </c>
      <c r="AR594">
        <v>78</v>
      </c>
      <c r="AS594">
        <v>-49</v>
      </c>
      <c r="AT594">
        <v>-64</v>
      </c>
      <c r="BB594" t="str">
        <f t="shared" si="72"/>
        <v>1200</v>
      </c>
      <c r="BC594">
        <v>1</v>
      </c>
      <c r="BD594" t="str">
        <f t="shared" ref="BD594:BD657" si="74">"N745MB  "</f>
        <v xml:space="preserve">N745MB  </v>
      </c>
      <c r="BE594">
        <v>1</v>
      </c>
      <c r="BG594">
        <v>0</v>
      </c>
      <c r="BH594">
        <v>0</v>
      </c>
      <c r="BI594">
        <v>0</v>
      </c>
      <c r="BL594" t="s">
        <v>130</v>
      </c>
      <c r="BM594">
        <v>1</v>
      </c>
      <c r="BN594">
        <v>0</v>
      </c>
      <c r="BO594">
        <v>0</v>
      </c>
      <c r="BP594">
        <v>0</v>
      </c>
      <c r="BT594">
        <v>0</v>
      </c>
      <c r="BU594">
        <v>0</v>
      </c>
      <c r="CE594" t="str">
        <f>"20:23:01.472"</f>
        <v>20:23:01.472</v>
      </c>
      <c r="CF594">
        <v>472216108</v>
      </c>
      <c r="CS594">
        <v>0</v>
      </c>
      <c r="CT594">
        <v>2</v>
      </c>
      <c r="CU594">
        <v>0</v>
      </c>
      <c r="CV594">
        <v>2</v>
      </c>
      <c r="CW594">
        <v>0</v>
      </c>
      <c r="CX594">
        <v>3</v>
      </c>
      <c r="CY594">
        <v>7</v>
      </c>
      <c r="CZ594" t="s">
        <v>131</v>
      </c>
      <c r="DA594">
        <v>116</v>
      </c>
      <c r="DB594">
        <v>3</v>
      </c>
      <c r="DC594" t="s">
        <v>132</v>
      </c>
      <c r="DD594" t="s">
        <v>133</v>
      </c>
      <c r="DG594">
        <v>8317412</v>
      </c>
      <c r="DI594">
        <v>0</v>
      </c>
      <c r="DJ594">
        <v>0</v>
      </c>
      <c r="DK594">
        <v>1</v>
      </c>
      <c r="DL594">
        <v>0</v>
      </c>
      <c r="DM594">
        <v>0</v>
      </c>
      <c r="DN594">
        <v>0</v>
      </c>
      <c r="DO594">
        <v>0</v>
      </c>
      <c r="DP594">
        <v>1</v>
      </c>
      <c r="DQ594">
        <v>0</v>
      </c>
      <c r="DR594">
        <v>0</v>
      </c>
      <c r="DS594">
        <v>0</v>
      </c>
    </row>
    <row r="595" spans="1:123" x14ac:dyDescent="0.25">
      <c r="A595" t="str">
        <f>"11/29/2023 20:23:03.242"</f>
        <v>11/29/2023 20:23:03.242</v>
      </c>
      <c r="C595" t="str">
        <f t="shared" si="73"/>
        <v>FFDF53C0</v>
      </c>
      <c r="D595" t="s">
        <v>138</v>
      </c>
      <c r="E595">
        <v>3</v>
      </c>
      <c r="H595">
        <v>160</v>
      </c>
      <c r="I595" t="s">
        <v>124</v>
      </c>
      <c r="J595" t="s">
        <v>139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"20:23:02.820"</f>
        <v>20:23:02.820</v>
      </c>
      <c r="T595" t="str">
        <f>"20:23:02.620"</f>
        <v>20:23:02.620</v>
      </c>
      <c r="U595" t="str">
        <f t="shared" si="71"/>
        <v>AA0632</v>
      </c>
      <c r="V595">
        <v>0</v>
      </c>
      <c r="W595">
        <v>0</v>
      </c>
      <c r="X595">
        <v>2</v>
      </c>
      <c r="Y595">
        <v>0</v>
      </c>
      <c r="AA595">
        <v>0</v>
      </c>
      <c r="AB595">
        <v>9</v>
      </c>
      <c r="AC595">
        <v>3</v>
      </c>
      <c r="AD595">
        <v>0</v>
      </c>
      <c r="AE595">
        <v>10</v>
      </c>
      <c r="AF595" t="s">
        <v>126</v>
      </c>
      <c r="AG595">
        <v>0</v>
      </c>
      <c r="AH595">
        <v>0</v>
      </c>
      <c r="AI595">
        <v>2</v>
      </c>
      <c r="AJ595">
        <v>0</v>
      </c>
      <c r="AK595" t="s">
        <v>434</v>
      </c>
      <c r="AL595">
        <v>31.934101999999999</v>
      </c>
      <c r="AM595" t="s">
        <v>435</v>
      </c>
      <c r="AN595">
        <v>-101.072631</v>
      </c>
      <c r="AQ595" t="s">
        <v>129</v>
      </c>
      <c r="AR595">
        <v>78</v>
      </c>
      <c r="AS595">
        <v>-49</v>
      </c>
      <c r="AT595">
        <v>0</v>
      </c>
      <c r="BB595" t="str">
        <f t="shared" si="72"/>
        <v>1200</v>
      </c>
      <c r="BC595">
        <v>1</v>
      </c>
      <c r="BD595" t="str">
        <f t="shared" si="74"/>
        <v xml:space="preserve">N745MB  </v>
      </c>
      <c r="BE595">
        <v>1</v>
      </c>
      <c r="BG595">
        <v>0</v>
      </c>
      <c r="BH595">
        <v>0</v>
      </c>
      <c r="BI595">
        <v>0</v>
      </c>
      <c r="BL595" t="s">
        <v>130</v>
      </c>
      <c r="BM595">
        <v>1</v>
      </c>
      <c r="BN595">
        <v>0</v>
      </c>
      <c r="BO595">
        <v>0</v>
      </c>
      <c r="BP595">
        <v>0</v>
      </c>
      <c r="BT595">
        <v>0</v>
      </c>
      <c r="BU595">
        <v>0</v>
      </c>
      <c r="CE595" t="str">
        <f>"20:23:02.824"</f>
        <v>20:23:02.824</v>
      </c>
      <c r="CF595">
        <v>824122547</v>
      </c>
      <c r="CS595">
        <v>0</v>
      </c>
      <c r="CT595">
        <v>2</v>
      </c>
      <c r="CU595">
        <v>0</v>
      </c>
      <c r="CV595">
        <v>2</v>
      </c>
      <c r="CW595">
        <v>0</v>
      </c>
      <c r="CX595">
        <v>2</v>
      </c>
      <c r="CY595">
        <v>7</v>
      </c>
      <c r="CZ595" t="s">
        <v>131</v>
      </c>
      <c r="DA595">
        <v>116</v>
      </c>
      <c r="DB595">
        <v>0</v>
      </c>
      <c r="DC595" t="s">
        <v>132</v>
      </c>
      <c r="DD595" t="s">
        <v>133</v>
      </c>
      <c r="DG595">
        <v>14526015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1</v>
      </c>
      <c r="DQ595">
        <v>0</v>
      </c>
      <c r="DR595">
        <v>0</v>
      </c>
      <c r="DS595">
        <v>0</v>
      </c>
    </row>
    <row r="596" spans="1:123" x14ac:dyDescent="0.25">
      <c r="A596" t="str">
        <f>"11/29/2023 20:23:03.242"</f>
        <v>11/29/2023 20:23:03.242</v>
      </c>
      <c r="C596" t="str">
        <f t="shared" si="73"/>
        <v>FFDF53C0</v>
      </c>
      <c r="D596" t="s">
        <v>123</v>
      </c>
      <c r="E596">
        <v>14</v>
      </c>
      <c r="F596">
        <v>1014</v>
      </c>
      <c r="G596" t="s">
        <v>124</v>
      </c>
      <c r="J596" t="s">
        <v>125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"20:23:02.820"</f>
        <v>20:23:02.820</v>
      </c>
      <c r="T596" t="str">
        <f>"20:23:02.620"</f>
        <v>20:23:02.620</v>
      </c>
      <c r="U596" t="str">
        <f t="shared" si="71"/>
        <v>AA0632</v>
      </c>
      <c r="V596">
        <v>0</v>
      </c>
      <c r="W596">
        <v>0</v>
      </c>
      <c r="X596">
        <v>2</v>
      </c>
      <c r="Y596">
        <v>0</v>
      </c>
      <c r="AA596">
        <v>0</v>
      </c>
      <c r="AB596">
        <v>9</v>
      </c>
      <c r="AC596">
        <v>3</v>
      </c>
      <c r="AD596">
        <v>0</v>
      </c>
      <c r="AE596">
        <v>10</v>
      </c>
      <c r="AF596" t="s">
        <v>126</v>
      </c>
      <c r="AG596">
        <v>0</v>
      </c>
      <c r="AH596">
        <v>0</v>
      </c>
      <c r="AI596">
        <v>2</v>
      </c>
      <c r="AJ596">
        <v>0</v>
      </c>
      <c r="AK596" t="s">
        <v>434</v>
      </c>
      <c r="AL596">
        <v>31.934101999999999</v>
      </c>
      <c r="AM596" t="s">
        <v>435</v>
      </c>
      <c r="AN596">
        <v>-101.072631</v>
      </c>
      <c r="AQ596" t="s">
        <v>129</v>
      </c>
      <c r="AR596">
        <v>78</v>
      </c>
      <c r="AS596">
        <v>-49</v>
      </c>
      <c r="AT596">
        <v>0</v>
      </c>
      <c r="BB596" t="str">
        <f t="shared" si="72"/>
        <v>1200</v>
      </c>
      <c r="BC596">
        <v>1</v>
      </c>
      <c r="BD596" t="str">
        <f t="shared" si="74"/>
        <v xml:space="preserve">N745MB  </v>
      </c>
      <c r="BE596">
        <v>1</v>
      </c>
      <c r="BG596">
        <v>0</v>
      </c>
      <c r="BH596">
        <v>0</v>
      </c>
      <c r="BI596">
        <v>0</v>
      </c>
      <c r="BL596" t="s">
        <v>130</v>
      </c>
      <c r="BM596">
        <v>1</v>
      </c>
      <c r="BN596">
        <v>0</v>
      </c>
      <c r="BO596">
        <v>0</v>
      </c>
      <c r="BP596">
        <v>0</v>
      </c>
      <c r="BT596">
        <v>0</v>
      </c>
      <c r="BU596">
        <v>0</v>
      </c>
      <c r="CE596" t="str">
        <f>"20:23:02.824"</f>
        <v>20:23:02.824</v>
      </c>
      <c r="CF596">
        <v>824122547</v>
      </c>
      <c r="CS596">
        <v>0</v>
      </c>
      <c r="CT596">
        <v>2</v>
      </c>
      <c r="CU596">
        <v>0</v>
      </c>
      <c r="CV596">
        <v>2</v>
      </c>
      <c r="CW596">
        <v>0</v>
      </c>
      <c r="CX596">
        <v>2</v>
      </c>
      <c r="CY596">
        <v>7</v>
      </c>
      <c r="CZ596" t="s">
        <v>131</v>
      </c>
      <c r="DA596">
        <v>116</v>
      </c>
      <c r="DB596">
        <v>0</v>
      </c>
      <c r="DC596" t="s">
        <v>132</v>
      </c>
      <c r="DD596" t="s">
        <v>133</v>
      </c>
      <c r="DG596">
        <v>14526015</v>
      </c>
      <c r="DI596">
        <v>0</v>
      </c>
      <c r="DJ596">
        <v>0</v>
      </c>
      <c r="DK596">
        <v>1</v>
      </c>
      <c r="DL596">
        <v>0</v>
      </c>
      <c r="DM596">
        <v>0</v>
      </c>
      <c r="DN596">
        <v>0</v>
      </c>
      <c r="DO596">
        <v>0</v>
      </c>
      <c r="DP596">
        <v>1</v>
      </c>
      <c r="DQ596">
        <v>0</v>
      </c>
      <c r="DR596">
        <v>0</v>
      </c>
      <c r="DS596">
        <v>0</v>
      </c>
    </row>
    <row r="597" spans="1:123" x14ac:dyDescent="0.25">
      <c r="A597" t="str">
        <f>"11/29/2023 20:23:16.696"</f>
        <v>11/29/2023 20:23:16.696</v>
      </c>
      <c r="C597" t="str">
        <f t="shared" si="73"/>
        <v>FFDF53C0</v>
      </c>
      <c r="D597" t="s">
        <v>123</v>
      </c>
      <c r="E597">
        <v>14</v>
      </c>
      <c r="F597">
        <v>1014</v>
      </c>
      <c r="G597" t="s">
        <v>124</v>
      </c>
      <c r="J597" t="s">
        <v>125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"20:23:16.375"</f>
        <v>20:23:16.375</v>
      </c>
      <c r="T597" t="str">
        <f>"20:23:14.175"</f>
        <v>20:23:14.175</v>
      </c>
      <c r="U597" t="str">
        <f t="shared" si="71"/>
        <v>AA0632</v>
      </c>
      <c r="V597">
        <v>0</v>
      </c>
      <c r="W597">
        <v>0</v>
      </c>
      <c r="X597">
        <v>2</v>
      </c>
      <c r="Y597">
        <v>0</v>
      </c>
      <c r="AA597">
        <v>0</v>
      </c>
      <c r="AB597">
        <v>9</v>
      </c>
      <c r="AC597">
        <v>3</v>
      </c>
      <c r="AD597">
        <v>0</v>
      </c>
      <c r="AE597">
        <v>10</v>
      </c>
      <c r="AF597" t="s">
        <v>126</v>
      </c>
      <c r="AG597">
        <v>0</v>
      </c>
      <c r="AH597">
        <v>0</v>
      </c>
      <c r="AI597">
        <v>2</v>
      </c>
      <c r="AJ597">
        <v>0</v>
      </c>
      <c r="AK597" t="s">
        <v>436</v>
      </c>
      <c r="AL597">
        <v>31.931248</v>
      </c>
      <c r="AM597" t="s">
        <v>437</v>
      </c>
      <c r="AN597">
        <v>-101.066773</v>
      </c>
      <c r="AQ597" t="s">
        <v>129</v>
      </c>
      <c r="AR597">
        <v>81</v>
      </c>
      <c r="AS597">
        <v>-41</v>
      </c>
      <c r="AT597">
        <v>320</v>
      </c>
      <c r="BB597" t="str">
        <f t="shared" si="72"/>
        <v>1200</v>
      </c>
      <c r="BC597">
        <v>1</v>
      </c>
      <c r="BD597" t="str">
        <f t="shared" si="74"/>
        <v xml:space="preserve">N745MB  </v>
      </c>
      <c r="BE597">
        <v>1</v>
      </c>
      <c r="BG597">
        <v>0</v>
      </c>
      <c r="BH597">
        <v>0</v>
      </c>
      <c r="BI597">
        <v>0</v>
      </c>
      <c r="BL597" t="s">
        <v>130</v>
      </c>
      <c r="BM597">
        <v>1</v>
      </c>
      <c r="BN597">
        <v>0</v>
      </c>
      <c r="BO597">
        <v>0</v>
      </c>
      <c r="BP597">
        <v>0</v>
      </c>
      <c r="BT597">
        <v>0</v>
      </c>
      <c r="BU597">
        <v>0</v>
      </c>
      <c r="CE597" t="str">
        <f>"20:23:16.379"</f>
        <v>20:23:16.379</v>
      </c>
      <c r="CF597">
        <v>379207857</v>
      </c>
      <c r="CS597">
        <v>0</v>
      </c>
      <c r="CT597">
        <v>2</v>
      </c>
      <c r="CU597">
        <v>0</v>
      </c>
      <c r="CV597">
        <v>2</v>
      </c>
      <c r="CW597">
        <v>0</v>
      </c>
      <c r="CX597">
        <v>1</v>
      </c>
      <c r="CY597">
        <v>7</v>
      </c>
      <c r="CZ597" t="s">
        <v>131</v>
      </c>
      <c r="DA597">
        <v>116</v>
      </c>
      <c r="DB597">
        <v>0</v>
      </c>
      <c r="DC597" t="s">
        <v>132</v>
      </c>
      <c r="DD597" t="s">
        <v>133</v>
      </c>
      <c r="DG597">
        <v>14537762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1</v>
      </c>
      <c r="DQ597">
        <v>0</v>
      </c>
      <c r="DR597">
        <v>0</v>
      </c>
      <c r="DS597">
        <v>0</v>
      </c>
    </row>
    <row r="598" spans="1:123" x14ac:dyDescent="0.25">
      <c r="A598" t="str">
        <f>"11/29/2023 20:23:18.164"</f>
        <v>11/29/2023 20:23:18.164</v>
      </c>
      <c r="C598" t="str">
        <f t="shared" si="73"/>
        <v>FFDF53C0</v>
      </c>
      <c r="D598" t="s">
        <v>135</v>
      </c>
      <c r="E598">
        <v>31</v>
      </c>
      <c r="H598">
        <v>285</v>
      </c>
      <c r="I598" t="s">
        <v>136</v>
      </c>
      <c r="J598" t="s">
        <v>137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"20:23:17.922"</f>
        <v>20:23:17.922</v>
      </c>
      <c r="T598" t="str">
        <f>"20:23:17.222"</f>
        <v>20:23:17.222</v>
      </c>
      <c r="U598" t="str">
        <f t="shared" si="71"/>
        <v>AA0632</v>
      </c>
      <c r="V598">
        <v>0</v>
      </c>
      <c r="W598">
        <v>0</v>
      </c>
      <c r="X598">
        <v>2</v>
      </c>
      <c r="Y598">
        <v>0</v>
      </c>
      <c r="AA598">
        <v>0</v>
      </c>
      <c r="AB598">
        <v>9</v>
      </c>
      <c r="AC598">
        <v>3</v>
      </c>
      <c r="AD598">
        <v>0</v>
      </c>
      <c r="AE598">
        <v>10</v>
      </c>
      <c r="AF598" t="s">
        <v>126</v>
      </c>
      <c r="AG598">
        <v>0</v>
      </c>
      <c r="AH598">
        <v>0</v>
      </c>
      <c r="AI598">
        <v>2</v>
      </c>
      <c r="AJ598">
        <v>0</v>
      </c>
      <c r="AK598" t="s">
        <v>438</v>
      </c>
      <c r="AL598">
        <v>31.931011999999999</v>
      </c>
      <c r="AM598" t="s">
        <v>439</v>
      </c>
      <c r="AN598">
        <v>-101.06604299999999</v>
      </c>
      <c r="AQ598" t="s">
        <v>129</v>
      </c>
      <c r="AR598">
        <v>83</v>
      </c>
      <c r="AS598">
        <v>-36</v>
      </c>
      <c r="AT598">
        <v>320</v>
      </c>
      <c r="BB598" t="str">
        <f t="shared" si="72"/>
        <v>1200</v>
      </c>
      <c r="BC598">
        <v>1</v>
      </c>
      <c r="BD598" t="str">
        <f t="shared" si="74"/>
        <v xml:space="preserve">N745MB  </v>
      </c>
      <c r="BE598">
        <v>1</v>
      </c>
      <c r="BG598">
        <v>0</v>
      </c>
      <c r="BH598">
        <v>0</v>
      </c>
      <c r="BI598">
        <v>0</v>
      </c>
      <c r="BL598" t="s">
        <v>130</v>
      </c>
      <c r="BM598">
        <v>1</v>
      </c>
      <c r="BN598">
        <v>0</v>
      </c>
      <c r="BO598">
        <v>0</v>
      </c>
      <c r="BP598">
        <v>0</v>
      </c>
      <c r="BT598">
        <v>0</v>
      </c>
      <c r="BU598">
        <v>0</v>
      </c>
      <c r="CE598" t="str">
        <f>"20:23:17.927"</f>
        <v>20:23:17.927</v>
      </c>
      <c r="CF598">
        <v>927101216</v>
      </c>
      <c r="CS598">
        <v>0</v>
      </c>
      <c r="CT598">
        <v>2</v>
      </c>
      <c r="CU598">
        <v>0</v>
      </c>
      <c r="CV598">
        <v>2</v>
      </c>
      <c r="CW598">
        <v>0</v>
      </c>
      <c r="CX598">
        <v>1</v>
      </c>
      <c r="CY598">
        <v>7</v>
      </c>
      <c r="CZ598" t="s">
        <v>131</v>
      </c>
      <c r="DA598">
        <v>116</v>
      </c>
      <c r="DB598">
        <v>3</v>
      </c>
      <c r="DC598" t="s">
        <v>132</v>
      </c>
      <c r="DD598" t="s">
        <v>133</v>
      </c>
      <c r="DG598">
        <v>8326525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1</v>
      </c>
      <c r="DQ598">
        <v>0</v>
      </c>
      <c r="DR598">
        <v>0</v>
      </c>
      <c r="DS598">
        <v>0</v>
      </c>
    </row>
    <row r="599" spans="1:123" x14ac:dyDescent="0.25">
      <c r="A599" t="str">
        <f>"11/29/2023 20:23:18.164"</f>
        <v>11/29/2023 20:23:18.164</v>
      </c>
      <c r="C599" t="str">
        <f t="shared" si="73"/>
        <v>FFDF53C0</v>
      </c>
      <c r="D599" t="s">
        <v>123</v>
      </c>
      <c r="E599">
        <v>1</v>
      </c>
      <c r="F599">
        <v>1001</v>
      </c>
      <c r="G599" t="s">
        <v>134</v>
      </c>
      <c r="J599" t="s">
        <v>125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"20:23:17.922"</f>
        <v>20:23:17.922</v>
      </c>
      <c r="T599" t="str">
        <f>"20:23:17.222"</f>
        <v>20:23:17.222</v>
      </c>
      <c r="U599" t="str">
        <f t="shared" si="71"/>
        <v>AA0632</v>
      </c>
      <c r="V599">
        <v>0</v>
      </c>
      <c r="W599">
        <v>0</v>
      </c>
      <c r="X599">
        <v>2</v>
      </c>
      <c r="Y599">
        <v>0</v>
      </c>
      <c r="AA599">
        <v>0</v>
      </c>
      <c r="AB599">
        <v>9</v>
      </c>
      <c r="AC599">
        <v>3</v>
      </c>
      <c r="AD599">
        <v>0</v>
      </c>
      <c r="AE599">
        <v>10</v>
      </c>
      <c r="AF599" t="s">
        <v>126</v>
      </c>
      <c r="AG599">
        <v>0</v>
      </c>
      <c r="AH599">
        <v>0</v>
      </c>
      <c r="AI599">
        <v>2</v>
      </c>
      <c r="AJ599">
        <v>0</v>
      </c>
      <c r="AK599" t="s">
        <v>438</v>
      </c>
      <c r="AL599">
        <v>31.931011999999999</v>
      </c>
      <c r="AM599" t="s">
        <v>439</v>
      </c>
      <c r="AN599">
        <v>-101.06604299999999</v>
      </c>
      <c r="AQ599" t="s">
        <v>129</v>
      </c>
      <c r="AR599">
        <v>83</v>
      </c>
      <c r="AS599">
        <v>-36</v>
      </c>
      <c r="AT599">
        <v>320</v>
      </c>
      <c r="BB599" t="str">
        <f t="shared" si="72"/>
        <v>1200</v>
      </c>
      <c r="BC599">
        <v>1</v>
      </c>
      <c r="BD599" t="str">
        <f t="shared" si="74"/>
        <v xml:space="preserve">N745MB  </v>
      </c>
      <c r="BE599">
        <v>1</v>
      </c>
      <c r="BG599">
        <v>0</v>
      </c>
      <c r="BH599">
        <v>0</v>
      </c>
      <c r="BI599">
        <v>0</v>
      </c>
      <c r="BL599" t="s">
        <v>130</v>
      </c>
      <c r="BM599">
        <v>1</v>
      </c>
      <c r="BN599">
        <v>0</v>
      </c>
      <c r="BO599">
        <v>0</v>
      </c>
      <c r="BP599">
        <v>0</v>
      </c>
      <c r="BT599">
        <v>0</v>
      </c>
      <c r="BU599">
        <v>0</v>
      </c>
      <c r="CE599" t="str">
        <f>"20:23:17.927"</f>
        <v>20:23:17.927</v>
      </c>
      <c r="CF599">
        <v>927101216</v>
      </c>
      <c r="CS599">
        <v>0</v>
      </c>
      <c r="CT599">
        <v>2</v>
      </c>
      <c r="CU599">
        <v>0</v>
      </c>
      <c r="CV599">
        <v>2</v>
      </c>
      <c r="CW599">
        <v>0</v>
      </c>
      <c r="CX599">
        <v>1</v>
      </c>
      <c r="CY599">
        <v>7</v>
      </c>
      <c r="CZ599" t="s">
        <v>131</v>
      </c>
      <c r="DA599">
        <v>116</v>
      </c>
      <c r="DB599">
        <v>3</v>
      </c>
      <c r="DC599" t="s">
        <v>132</v>
      </c>
      <c r="DD599" t="s">
        <v>133</v>
      </c>
      <c r="DG599">
        <v>8326525</v>
      </c>
      <c r="DI599">
        <v>0</v>
      </c>
      <c r="DJ599">
        <v>0</v>
      </c>
      <c r="DK599">
        <v>1</v>
      </c>
      <c r="DL599">
        <v>0</v>
      </c>
      <c r="DM599">
        <v>0</v>
      </c>
      <c r="DN599">
        <v>0</v>
      </c>
      <c r="DO599">
        <v>0</v>
      </c>
      <c r="DP599">
        <v>1</v>
      </c>
      <c r="DQ599">
        <v>0</v>
      </c>
      <c r="DR599">
        <v>0</v>
      </c>
      <c r="DS599">
        <v>0</v>
      </c>
    </row>
    <row r="600" spans="1:123" x14ac:dyDescent="0.25">
      <c r="A600" t="str">
        <f>"11/29/2023 20:23:18.305"</f>
        <v>11/29/2023 20:23:18.305</v>
      </c>
      <c r="C600" t="str">
        <f t="shared" si="73"/>
        <v>FFDF53C0</v>
      </c>
      <c r="D600" t="s">
        <v>123</v>
      </c>
      <c r="E600">
        <v>14</v>
      </c>
      <c r="F600">
        <v>1014</v>
      </c>
      <c r="G600" t="s">
        <v>124</v>
      </c>
      <c r="J600" t="s">
        <v>125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"20:23:17.922"</f>
        <v>20:23:17.922</v>
      </c>
      <c r="T600" t="str">
        <f>"20:23:17.222"</f>
        <v>20:23:17.222</v>
      </c>
      <c r="U600" t="str">
        <f t="shared" si="71"/>
        <v>AA0632</v>
      </c>
      <c r="V600">
        <v>0</v>
      </c>
      <c r="W600">
        <v>0</v>
      </c>
      <c r="X600">
        <v>2</v>
      </c>
      <c r="Y600">
        <v>0</v>
      </c>
      <c r="AA600">
        <v>0</v>
      </c>
      <c r="AB600">
        <v>9</v>
      </c>
      <c r="AC600">
        <v>3</v>
      </c>
      <c r="AD600">
        <v>0</v>
      </c>
      <c r="AE600">
        <v>10</v>
      </c>
      <c r="AF600" t="s">
        <v>126</v>
      </c>
      <c r="AG600">
        <v>0</v>
      </c>
      <c r="AH600">
        <v>0</v>
      </c>
      <c r="AI600">
        <v>2</v>
      </c>
      <c r="AJ600">
        <v>0</v>
      </c>
      <c r="AK600" t="s">
        <v>438</v>
      </c>
      <c r="AL600">
        <v>31.931011999999999</v>
      </c>
      <c r="AM600" t="s">
        <v>439</v>
      </c>
      <c r="AN600">
        <v>-101.06604299999999</v>
      </c>
      <c r="AQ600" t="s">
        <v>129</v>
      </c>
      <c r="AR600">
        <v>83</v>
      </c>
      <c r="AS600">
        <v>-36</v>
      </c>
      <c r="AT600">
        <v>320</v>
      </c>
      <c r="BB600" t="str">
        <f t="shared" si="72"/>
        <v>1200</v>
      </c>
      <c r="BC600">
        <v>1</v>
      </c>
      <c r="BD600" t="str">
        <f t="shared" si="74"/>
        <v xml:space="preserve">N745MB  </v>
      </c>
      <c r="BE600">
        <v>1</v>
      </c>
      <c r="BG600">
        <v>0</v>
      </c>
      <c r="BH600">
        <v>0</v>
      </c>
      <c r="BI600">
        <v>0</v>
      </c>
      <c r="BL600" t="s">
        <v>130</v>
      </c>
      <c r="BM600">
        <v>1</v>
      </c>
      <c r="BN600">
        <v>0</v>
      </c>
      <c r="BO600">
        <v>0</v>
      </c>
      <c r="BP600">
        <v>0</v>
      </c>
      <c r="BT600">
        <v>0</v>
      </c>
      <c r="BU600">
        <v>0</v>
      </c>
      <c r="CE600" t="str">
        <f>"20:23:17.927"</f>
        <v>20:23:17.927</v>
      </c>
      <c r="CF600">
        <v>927101216</v>
      </c>
      <c r="CS600">
        <v>0</v>
      </c>
      <c r="CT600">
        <v>2</v>
      </c>
      <c r="CU600">
        <v>0</v>
      </c>
      <c r="CV600">
        <v>2</v>
      </c>
      <c r="CW600">
        <v>0</v>
      </c>
      <c r="CX600">
        <v>1</v>
      </c>
      <c r="CY600">
        <v>7</v>
      </c>
      <c r="CZ600" t="s">
        <v>131</v>
      </c>
      <c r="DA600">
        <v>116</v>
      </c>
      <c r="DB600">
        <v>3</v>
      </c>
      <c r="DC600" t="s">
        <v>132</v>
      </c>
      <c r="DD600" t="s">
        <v>133</v>
      </c>
      <c r="DG600">
        <v>8326525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1</v>
      </c>
      <c r="DQ600">
        <v>0</v>
      </c>
      <c r="DR600">
        <v>0</v>
      </c>
      <c r="DS600">
        <v>0</v>
      </c>
    </row>
    <row r="601" spans="1:123" x14ac:dyDescent="0.25">
      <c r="A601" t="str">
        <f>"11/29/2023 20:23:18.305"</f>
        <v>11/29/2023 20:23:18.305</v>
      </c>
      <c r="C601" t="str">
        <f t="shared" si="73"/>
        <v>FFDF53C0</v>
      </c>
      <c r="D601" t="s">
        <v>138</v>
      </c>
      <c r="E601">
        <v>3</v>
      </c>
      <c r="H601">
        <v>160</v>
      </c>
      <c r="I601" t="s">
        <v>124</v>
      </c>
      <c r="J601" t="s">
        <v>139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"20:23:17.922"</f>
        <v>20:23:17.922</v>
      </c>
      <c r="T601" t="str">
        <f>"20:23:17.222"</f>
        <v>20:23:17.222</v>
      </c>
      <c r="U601" t="str">
        <f t="shared" si="71"/>
        <v>AA0632</v>
      </c>
      <c r="V601">
        <v>0</v>
      </c>
      <c r="W601">
        <v>0</v>
      </c>
      <c r="X601">
        <v>2</v>
      </c>
      <c r="Y601">
        <v>0</v>
      </c>
      <c r="AA601">
        <v>0</v>
      </c>
      <c r="AB601">
        <v>9</v>
      </c>
      <c r="AC601">
        <v>3</v>
      </c>
      <c r="AD601">
        <v>0</v>
      </c>
      <c r="AE601">
        <v>10</v>
      </c>
      <c r="AF601" t="s">
        <v>126</v>
      </c>
      <c r="AG601">
        <v>0</v>
      </c>
      <c r="AH601">
        <v>0</v>
      </c>
      <c r="AI601">
        <v>2</v>
      </c>
      <c r="AJ601">
        <v>0</v>
      </c>
      <c r="AK601" t="s">
        <v>438</v>
      </c>
      <c r="AL601">
        <v>31.931011999999999</v>
      </c>
      <c r="AM601" t="s">
        <v>439</v>
      </c>
      <c r="AN601">
        <v>-101.06604299999999</v>
      </c>
      <c r="AQ601" t="s">
        <v>129</v>
      </c>
      <c r="AR601">
        <v>83</v>
      </c>
      <c r="AS601">
        <v>-36</v>
      </c>
      <c r="AT601">
        <v>320</v>
      </c>
      <c r="BB601" t="str">
        <f t="shared" si="72"/>
        <v>1200</v>
      </c>
      <c r="BC601">
        <v>1</v>
      </c>
      <c r="BD601" t="str">
        <f t="shared" si="74"/>
        <v xml:space="preserve">N745MB  </v>
      </c>
      <c r="BE601">
        <v>1</v>
      </c>
      <c r="BG601">
        <v>0</v>
      </c>
      <c r="BH601">
        <v>0</v>
      </c>
      <c r="BI601">
        <v>0</v>
      </c>
      <c r="BL601" t="s">
        <v>130</v>
      </c>
      <c r="BM601">
        <v>1</v>
      </c>
      <c r="BN601">
        <v>0</v>
      </c>
      <c r="BO601">
        <v>0</v>
      </c>
      <c r="BP601">
        <v>0</v>
      </c>
      <c r="BT601">
        <v>0</v>
      </c>
      <c r="BU601">
        <v>0</v>
      </c>
      <c r="CE601" t="str">
        <f>"20:23:17.927"</f>
        <v>20:23:17.927</v>
      </c>
      <c r="CF601">
        <v>927101216</v>
      </c>
      <c r="CS601">
        <v>0</v>
      </c>
      <c r="CT601">
        <v>2</v>
      </c>
      <c r="CU601">
        <v>0</v>
      </c>
      <c r="CV601">
        <v>2</v>
      </c>
      <c r="CW601">
        <v>0</v>
      </c>
      <c r="CX601">
        <v>1</v>
      </c>
      <c r="CY601">
        <v>7</v>
      </c>
      <c r="CZ601" t="s">
        <v>131</v>
      </c>
      <c r="DA601">
        <v>116</v>
      </c>
      <c r="DB601">
        <v>3</v>
      </c>
      <c r="DC601" t="s">
        <v>132</v>
      </c>
      <c r="DD601" t="s">
        <v>133</v>
      </c>
      <c r="DG601">
        <v>8326525</v>
      </c>
      <c r="DI601">
        <v>0</v>
      </c>
      <c r="DJ601">
        <v>0</v>
      </c>
      <c r="DK601">
        <v>1</v>
      </c>
      <c r="DL601">
        <v>0</v>
      </c>
      <c r="DM601">
        <v>0</v>
      </c>
      <c r="DN601">
        <v>0</v>
      </c>
      <c r="DO601">
        <v>0</v>
      </c>
      <c r="DP601">
        <v>1</v>
      </c>
      <c r="DQ601">
        <v>0</v>
      </c>
      <c r="DR601">
        <v>0</v>
      </c>
      <c r="DS601">
        <v>0</v>
      </c>
    </row>
    <row r="602" spans="1:123" x14ac:dyDescent="0.25">
      <c r="A602" t="str">
        <f>"11/29/2023 20:23:24.992"</f>
        <v>11/29/2023 20:23:24.992</v>
      </c>
      <c r="C602" t="str">
        <f t="shared" si="73"/>
        <v>FFDF53C0</v>
      </c>
      <c r="D602" t="s">
        <v>123</v>
      </c>
      <c r="E602">
        <v>14</v>
      </c>
      <c r="F602">
        <v>1014</v>
      </c>
      <c r="G602" t="s">
        <v>124</v>
      </c>
      <c r="J602" t="s">
        <v>125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"20:23:24.609"</f>
        <v>20:23:24.609</v>
      </c>
      <c r="T602" t="str">
        <f>"20:23:21.709"</f>
        <v>20:23:21.709</v>
      </c>
      <c r="U602" t="str">
        <f t="shared" si="71"/>
        <v>AA0632</v>
      </c>
      <c r="V602">
        <v>0</v>
      </c>
      <c r="W602">
        <v>0</v>
      </c>
      <c r="X602">
        <v>2</v>
      </c>
      <c r="Y602">
        <v>0</v>
      </c>
      <c r="AA602">
        <v>0</v>
      </c>
      <c r="AB602">
        <v>9</v>
      </c>
      <c r="AC602">
        <v>3</v>
      </c>
      <c r="AD602">
        <v>0</v>
      </c>
      <c r="AE602">
        <v>10</v>
      </c>
      <c r="AF602" t="s">
        <v>126</v>
      </c>
      <c r="AG602">
        <v>0</v>
      </c>
      <c r="AH602">
        <v>0</v>
      </c>
      <c r="AI602">
        <v>2</v>
      </c>
      <c r="AJ602">
        <v>0</v>
      </c>
      <c r="AK602" t="s">
        <v>440</v>
      </c>
      <c r="AL602">
        <v>31.929981999999999</v>
      </c>
      <c r="AM602" t="s">
        <v>441</v>
      </c>
      <c r="AN602">
        <v>-101.06295299999999</v>
      </c>
      <c r="AQ602" t="s">
        <v>129</v>
      </c>
      <c r="AR602">
        <v>85</v>
      </c>
      <c r="AS602">
        <v>-33</v>
      </c>
      <c r="AT602">
        <v>-128</v>
      </c>
      <c r="BB602" t="str">
        <f t="shared" si="72"/>
        <v>1200</v>
      </c>
      <c r="BC602">
        <v>1</v>
      </c>
      <c r="BD602" t="str">
        <f t="shared" si="74"/>
        <v xml:space="preserve">N745MB  </v>
      </c>
      <c r="BE602">
        <v>1</v>
      </c>
      <c r="BG602">
        <v>0</v>
      </c>
      <c r="BH602">
        <v>0</v>
      </c>
      <c r="BI602">
        <v>0</v>
      </c>
      <c r="BL602" t="s">
        <v>130</v>
      </c>
      <c r="BM602">
        <v>1</v>
      </c>
      <c r="BN602">
        <v>0</v>
      </c>
      <c r="BO602">
        <v>0</v>
      </c>
      <c r="BP602">
        <v>0</v>
      </c>
      <c r="BT602">
        <v>0</v>
      </c>
      <c r="BU602">
        <v>0</v>
      </c>
      <c r="CE602" t="str">
        <f>"20:23:24.617"</f>
        <v>20:23:24.617</v>
      </c>
      <c r="CF602">
        <v>616651722</v>
      </c>
      <c r="CS602">
        <v>0</v>
      </c>
      <c r="CT602">
        <v>2</v>
      </c>
      <c r="CU602">
        <v>0</v>
      </c>
      <c r="CV602">
        <v>2</v>
      </c>
      <c r="CW602">
        <v>0</v>
      </c>
      <c r="CX602">
        <v>1</v>
      </c>
      <c r="CY602">
        <v>7</v>
      </c>
      <c r="CZ602" t="s">
        <v>131</v>
      </c>
      <c r="DA602">
        <v>116</v>
      </c>
      <c r="DB602">
        <v>3</v>
      </c>
      <c r="DC602" t="s">
        <v>132</v>
      </c>
      <c r="DD602" t="s">
        <v>133</v>
      </c>
      <c r="DG602">
        <v>8330192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1</v>
      </c>
      <c r="DQ602">
        <v>0</v>
      </c>
      <c r="DR602">
        <v>0</v>
      </c>
      <c r="DS602">
        <v>0</v>
      </c>
    </row>
    <row r="603" spans="1:123" x14ac:dyDescent="0.25">
      <c r="A603" t="str">
        <f>"11/29/2023 20:23:24.992"</f>
        <v>11/29/2023 20:23:24.992</v>
      </c>
      <c r="C603" t="str">
        <f t="shared" si="73"/>
        <v>FFDF53C0</v>
      </c>
      <c r="D603" t="s">
        <v>138</v>
      </c>
      <c r="E603">
        <v>3</v>
      </c>
      <c r="H603">
        <v>160</v>
      </c>
      <c r="I603" t="s">
        <v>124</v>
      </c>
      <c r="J603" t="s">
        <v>139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"20:23:24.609"</f>
        <v>20:23:24.609</v>
      </c>
      <c r="T603" t="str">
        <f>"20:23:21.709"</f>
        <v>20:23:21.709</v>
      </c>
      <c r="U603" t="str">
        <f t="shared" si="71"/>
        <v>AA0632</v>
      </c>
      <c r="V603">
        <v>0</v>
      </c>
      <c r="W603">
        <v>0</v>
      </c>
      <c r="X603">
        <v>2</v>
      </c>
      <c r="Y603">
        <v>0</v>
      </c>
      <c r="AA603">
        <v>0</v>
      </c>
      <c r="AB603">
        <v>9</v>
      </c>
      <c r="AC603">
        <v>3</v>
      </c>
      <c r="AD603">
        <v>0</v>
      </c>
      <c r="AE603">
        <v>10</v>
      </c>
      <c r="AF603" t="s">
        <v>126</v>
      </c>
      <c r="AG603">
        <v>0</v>
      </c>
      <c r="AH603">
        <v>0</v>
      </c>
      <c r="AI603">
        <v>2</v>
      </c>
      <c r="AJ603">
        <v>0</v>
      </c>
      <c r="AK603" t="s">
        <v>440</v>
      </c>
      <c r="AL603">
        <v>31.929981999999999</v>
      </c>
      <c r="AM603" t="s">
        <v>441</v>
      </c>
      <c r="AN603">
        <v>-101.06295299999999</v>
      </c>
      <c r="AQ603" t="s">
        <v>129</v>
      </c>
      <c r="AR603">
        <v>85</v>
      </c>
      <c r="AS603">
        <v>-33</v>
      </c>
      <c r="AT603">
        <v>-128</v>
      </c>
      <c r="BB603" t="str">
        <f t="shared" si="72"/>
        <v>1200</v>
      </c>
      <c r="BC603">
        <v>1</v>
      </c>
      <c r="BD603" t="str">
        <f t="shared" si="74"/>
        <v xml:space="preserve">N745MB  </v>
      </c>
      <c r="BE603">
        <v>1</v>
      </c>
      <c r="BG603">
        <v>0</v>
      </c>
      <c r="BH603">
        <v>0</v>
      </c>
      <c r="BI603">
        <v>0</v>
      </c>
      <c r="BL603" t="s">
        <v>130</v>
      </c>
      <c r="BM603">
        <v>1</v>
      </c>
      <c r="BN603">
        <v>0</v>
      </c>
      <c r="BO603">
        <v>0</v>
      </c>
      <c r="BP603">
        <v>0</v>
      </c>
      <c r="BT603">
        <v>0</v>
      </c>
      <c r="BU603">
        <v>0</v>
      </c>
      <c r="CE603" t="str">
        <f>"20:23:24.617"</f>
        <v>20:23:24.617</v>
      </c>
      <c r="CF603">
        <v>616651722</v>
      </c>
      <c r="CS603">
        <v>0</v>
      </c>
      <c r="CT603">
        <v>2</v>
      </c>
      <c r="CU603">
        <v>0</v>
      </c>
      <c r="CV603">
        <v>2</v>
      </c>
      <c r="CW603">
        <v>0</v>
      </c>
      <c r="CX603">
        <v>1</v>
      </c>
      <c r="CY603">
        <v>7</v>
      </c>
      <c r="CZ603" t="s">
        <v>131</v>
      </c>
      <c r="DA603">
        <v>116</v>
      </c>
      <c r="DB603">
        <v>3</v>
      </c>
      <c r="DC603" t="s">
        <v>132</v>
      </c>
      <c r="DD603" t="s">
        <v>133</v>
      </c>
      <c r="DG603">
        <v>8330192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1</v>
      </c>
      <c r="DQ603">
        <v>0</v>
      </c>
      <c r="DR603">
        <v>0</v>
      </c>
      <c r="DS603">
        <v>0</v>
      </c>
    </row>
    <row r="604" spans="1:123" x14ac:dyDescent="0.25">
      <c r="A604" t="str">
        <f>"11/29/2023 20:23:25.055"</f>
        <v>11/29/2023 20:23:25.055</v>
      </c>
      <c r="C604" t="str">
        <f t="shared" si="73"/>
        <v>FFDF53C0</v>
      </c>
      <c r="D604" t="s">
        <v>135</v>
      </c>
      <c r="E604">
        <v>31</v>
      </c>
      <c r="H604">
        <v>285</v>
      </c>
      <c r="I604" t="s">
        <v>136</v>
      </c>
      <c r="J604" t="s">
        <v>137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"20:23:24.609"</f>
        <v>20:23:24.609</v>
      </c>
      <c r="T604" t="str">
        <f>"20:23:21.709"</f>
        <v>20:23:21.709</v>
      </c>
      <c r="U604" t="str">
        <f t="shared" si="71"/>
        <v>AA0632</v>
      </c>
      <c r="V604">
        <v>0</v>
      </c>
      <c r="W604">
        <v>0</v>
      </c>
      <c r="X604">
        <v>2</v>
      </c>
      <c r="Y604">
        <v>0</v>
      </c>
      <c r="AA604">
        <v>0</v>
      </c>
      <c r="AB604">
        <v>9</v>
      </c>
      <c r="AC604">
        <v>3</v>
      </c>
      <c r="AD604">
        <v>0</v>
      </c>
      <c r="AE604">
        <v>10</v>
      </c>
      <c r="AF604" t="s">
        <v>126</v>
      </c>
      <c r="AG604">
        <v>0</v>
      </c>
      <c r="AH604">
        <v>0</v>
      </c>
      <c r="AI604">
        <v>2</v>
      </c>
      <c r="AJ604">
        <v>0</v>
      </c>
      <c r="AK604" t="s">
        <v>440</v>
      </c>
      <c r="AL604">
        <v>31.929981999999999</v>
      </c>
      <c r="AM604" t="s">
        <v>441</v>
      </c>
      <c r="AN604">
        <v>-101.06295299999999</v>
      </c>
      <c r="AQ604" t="s">
        <v>129</v>
      </c>
      <c r="AR604">
        <v>85</v>
      </c>
      <c r="AS604">
        <v>-33</v>
      </c>
      <c r="AT604">
        <v>-128</v>
      </c>
      <c r="BB604" t="str">
        <f t="shared" si="72"/>
        <v>1200</v>
      </c>
      <c r="BC604">
        <v>1</v>
      </c>
      <c r="BD604" t="str">
        <f t="shared" si="74"/>
        <v xml:space="preserve">N745MB  </v>
      </c>
      <c r="BE604">
        <v>1</v>
      </c>
      <c r="BG604">
        <v>0</v>
      </c>
      <c r="BH604">
        <v>0</v>
      </c>
      <c r="BI604">
        <v>0</v>
      </c>
      <c r="BL604" t="s">
        <v>130</v>
      </c>
      <c r="BM604">
        <v>1</v>
      </c>
      <c r="BN604">
        <v>0</v>
      </c>
      <c r="BO604">
        <v>0</v>
      </c>
      <c r="BP604">
        <v>0</v>
      </c>
      <c r="BT604">
        <v>0</v>
      </c>
      <c r="BU604">
        <v>0</v>
      </c>
      <c r="CE604" t="str">
        <f>"20:23:24.617"</f>
        <v>20:23:24.617</v>
      </c>
      <c r="CF604">
        <v>616651722</v>
      </c>
      <c r="CS604">
        <v>0</v>
      </c>
      <c r="CT604">
        <v>2</v>
      </c>
      <c r="CU604">
        <v>0</v>
      </c>
      <c r="CV604">
        <v>2</v>
      </c>
      <c r="CW604">
        <v>0</v>
      </c>
      <c r="CX604">
        <v>1</v>
      </c>
      <c r="CY604">
        <v>7</v>
      </c>
      <c r="CZ604" t="s">
        <v>131</v>
      </c>
      <c r="DA604">
        <v>116</v>
      </c>
      <c r="DB604">
        <v>3</v>
      </c>
      <c r="DC604" t="s">
        <v>132</v>
      </c>
      <c r="DD604" t="s">
        <v>133</v>
      </c>
      <c r="DG604">
        <v>8330192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1</v>
      </c>
      <c r="DQ604">
        <v>0</v>
      </c>
      <c r="DR604">
        <v>0</v>
      </c>
      <c r="DS604">
        <v>0</v>
      </c>
    </row>
    <row r="605" spans="1:123" x14ac:dyDescent="0.25">
      <c r="A605" t="str">
        <f>"11/29/2023 20:23:25.071"</f>
        <v>11/29/2023 20:23:25.071</v>
      </c>
      <c r="C605" t="str">
        <f t="shared" si="73"/>
        <v>FFDF53C0</v>
      </c>
      <c r="D605" t="s">
        <v>123</v>
      </c>
      <c r="E605">
        <v>1</v>
      </c>
      <c r="F605">
        <v>1001</v>
      </c>
      <c r="G605" t="s">
        <v>134</v>
      </c>
      <c r="J605" t="s">
        <v>125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"20:23:24.609"</f>
        <v>20:23:24.609</v>
      </c>
      <c r="T605" t="str">
        <f>"20:23:21.709"</f>
        <v>20:23:21.709</v>
      </c>
      <c r="U605" t="str">
        <f t="shared" si="71"/>
        <v>AA0632</v>
      </c>
      <c r="V605">
        <v>0</v>
      </c>
      <c r="W605">
        <v>0</v>
      </c>
      <c r="X605">
        <v>2</v>
      </c>
      <c r="Y605">
        <v>0</v>
      </c>
      <c r="AA605">
        <v>0</v>
      </c>
      <c r="AB605">
        <v>9</v>
      </c>
      <c r="AC605">
        <v>3</v>
      </c>
      <c r="AD605">
        <v>0</v>
      </c>
      <c r="AE605">
        <v>10</v>
      </c>
      <c r="AF605" t="s">
        <v>126</v>
      </c>
      <c r="AG605">
        <v>0</v>
      </c>
      <c r="AH605">
        <v>0</v>
      </c>
      <c r="AI605">
        <v>2</v>
      </c>
      <c r="AJ605">
        <v>0</v>
      </c>
      <c r="AK605" t="s">
        <v>440</v>
      </c>
      <c r="AL605">
        <v>31.929981999999999</v>
      </c>
      <c r="AM605" t="s">
        <v>441</v>
      </c>
      <c r="AN605">
        <v>-101.06295299999999</v>
      </c>
      <c r="AQ605" t="s">
        <v>129</v>
      </c>
      <c r="AR605">
        <v>85</v>
      </c>
      <c r="AS605">
        <v>-33</v>
      </c>
      <c r="AT605">
        <v>-128</v>
      </c>
      <c r="BB605" t="str">
        <f t="shared" si="72"/>
        <v>1200</v>
      </c>
      <c r="BC605">
        <v>1</v>
      </c>
      <c r="BD605" t="str">
        <f t="shared" si="74"/>
        <v xml:space="preserve">N745MB  </v>
      </c>
      <c r="BE605">
        <v>1</v>
      </c>
      <c r="BG605">
        <v>0</v>
      </c>
      <c r="BH605">
        <v>0</v>
      </c>
      <c r="BI605">
        <v>0</v>
      </c>
      <c r="BL605" t="s">
        <v>130</v>
      </c>
      <c r="BM605">
        <v>1</v>
      </c>
      <c r="BN605">
        <v>0</v>
      </c>
      <c r="BO605">
        <v>0</v>
      </c>
      <c r="BP605">
        <v>0</v>
      </c>
      <c r="BT605">
        <v>0</v>
      </c>
      <c r="BU605">
        <v>0</v>
      </c>
      <c r="CE605" t="str">
        <f>"20:23:24.617"</f>
        <v>20:23:24.617</v>
      </c>
      <c r="CF605">
        <v>616651722</v>
      </c>
      <c r="CS605">
        <v>0</v>
      </c>
      <c r="CT605">
        <v>2</v>
      </c>
      <c r="CU605">
        <v>0</v>
      </c>
      <c r="CV605">
        <v>2</v>
      </c>
      <c r="CW605">
        <v>0</v>
      </c>
      <c r="CX605">
        <v>1</v>
      </c>
      <c r="CY605">
        <v>7</v>
      </c>
      <c r="CZ605" t="s">
        <v>131</v>
      </c>
      <c r="DA605">
        <v>116</v>
      </c>
      <c r="DB605">
        <v>3</v>
      </c>
      <c r="DC605" t="s">
        <v>132</v>
      </c>
      <c r="DD605" t="s">
        <v>133</v>
      </c>
      <c r="DG605">
        <v>8330192</v>
      </c>
      <c r="DI605">
        <v>0</v>
      </c>
      <c r="DJ605">
        <v>0</v>
      </c>
      <c r="DK605">
        <v>1</v>
      </c>
      <c r="DL605">
        <v>0</v>
      </c>
      <c r="DM605">
        <v>0</v>
      </c>
      <c r="DN605">
        <v>0</v>
      </c>
      <c r="DO605">
        <v>0</v>
      </c>
      <c r="DP605">
        <v>1</v>
      </c>
      <c r="DQ605">
        <v>0</v>
      </c>
      <c r="DR605">
        <v>0</v>
      </c>
      <c r="DS605">
        <v>0</v>
      </c>
    </row>
    <row r="606" spans="1:123" x14ac:dyDescent="0.25">
      <c r="A606" t="str">
        <f>"11/29/2023 20:23:25.883"</f>
        <v>11/29/2023 20:23:25.883</v>
      </c>
      <c r="C606" t="str">
        <f t="shared" si="73"/>
        <v>FFDF53C0</v>
      </c>
      <c r="D606" t="s">
        <v>135</v>
      </c>
      <c r="E606">
        <v>31</v>
      </c>
      <c r="H606">
        <v>285</v>
      </c>
      <c r="I606" t="s">
        <v>136</v>
      </c>
      <c r="J606" t="s">
        <v>137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"20:23:25.586"</f>
        <v>20:23:25.586</v>
      </c>
      <c r="T606" t="str">
        <f>"20:23:21.686"</f>
        <v>20:23:21.686</v>
      </c>
      <c r="U606" t="str">
        <f t="shared" si="71"/>
        <v>AA0632</v>
      </c>
      <c r="V606">
        <v>0</v>
      </c>
      <c r="W606">
        <v>0</v>
      </c>
      <c r="X606">
        <v>2</v>
      </c>
      <c r="Y606">
        <v>0</v>
      </c>
      <c r="AA606">
        <v>0</v>
      </c>
      <c r="AB606">
        <v>9</v>
      </c>
      <c r="AC606">
        <v>3</v>
      </c>
      <c r="AD606">
        <v>0</v>
      </c>
      <c r="AE606">
        <v>10</v>
      </c>
      <c r="AF606" t="s">
        <v>126</v>
      </c>
      <c r="AG606">
        <v>0</v>
      </c>
      <c r="AH606">
        <v>0</v>
      </c>
      <c r="AI606">
        <v>2</v>
      </c>
      <c r="AJ606">
        <v>0</v>
      </c>
      <c r="AK606" t="s">
        <v>442</v>
      </c>
      <c r="AL606">
        <v>31.92981</v>
      </c>
      <c r="AM606" t="s">
        <v>443</v>
      </c>
      <c r="AN606">
        <v>-101.06250300000001</v>
      </c>
      <c r="AQ606" t="s">
        <v>129</v>
      </c>
      <c r="AR606">
        <v>85</v>
      </c>
      <c r="AS606">
        <v>-33</v>
      </c>
      <c r="AT606">
        <v>-128</v>
      </c>
      <c r="BB606" t="str">
        <f t="shared" si="72"/>
        <v>1200</v>
      </c>
      <c r="BC606">
        <v>1</v>
      </c>
      <c r="BD606" t="str">
        <f t="shared" si="74"/>
        <v xml:space="preserve">N745MB  </v>
      </c>
      <c r="BE606">
        <v>1</v>
      </c>
      <c r="BG606">
        <v>0</v>
      </c>
      <c r="BH606">
        <v>0</v>
      </c>
      <c r="BI606">
        <v>0</v>
      </c>
      <c r="BL606" t="s">
        <v>130</v>
      </c>
      <c r="BM606">
        <v>1</v>
      </c>
      <c r="BN606">
        <v>0</v>
      </c>
      <c r="BO606">
        <v>0</v>
      </c>
      <c r="BP606">
        <v>0</v>
      </c>
      <c r="BT606">
        <v>0</v>
      </c>
      <c r="BU606">
        <v>0</v>
      </c>
      <c r="CE606" t="str">
        <f>"20:23:25.591"</f>
        <v>20:23:25.591</v>
      </c>
      <c r="CF606">
        <v>590581625</v>
      </c>
      <c r="CS606">
        <v>0</v>
      </c>
      <c r="CT606">
        <v>2</v>
      </c>
      <c r="CU606">
        <v>0</v>
      </c>
      <c r="CV606">
        <v>2</v>
      </c>
      <c r="CW606">
        <v>0</v>
      </c>
      <c r="CX606">
        <v>1</v>
      </c>
      <c r="CY606">
        <v>7</v>
      </c>
      <c r="CZ606" t="s">
        <v>131</v>
      </c>
      <c r="DA606">
        <v>116</v>
      </c>
      <c r="DB606">
        <v>3</v>
      </c>
      <c r="DC606" t="s">
        <v>132</v>
      </c>
      <c r="DD606" t="s">
        <v>133</v>
      </c>
      <c r="DG606">
        <v>8330747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1</v>
      </c>
      <c r="DQ606">
        <v>0</v>
      </c>
      <c r="DR606">
        <v>0</v>
      </c>
      <c r="DS606">
        <v>0</v>
      </c>
    </row>
    <row r="607" spans="1:123" x14ac:dyDescent="0.25">
      <c r="A607" t="str">
        <f>"11/29/2023 20:23:25.883"</f>
        <v>11/29/2023 20:23:25.883</v>
      </c>
      <c r="C607" t="str">
        <f t="shared" si="73"/>
        <v>FFDF53C0</v>
      </c>
      <c r="D607" t="s">
        <v>123</v>
      </c>
      <c r="E607">
        <v>1</v>
      </c>
      <c r="F607">
        <v>1001</v>
      </c>
      <c r="G607" t="s">
        <v>134</v>
      </c>
      <c r="J607" t="s">
        <v>125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"20:23:25.586"</f>
        <v>20:23:25.586</v>
      </c>
      <c r="T607" t="str">
        <f>"20:23:21.686"</f>
        <v>20:23:21.686</v>
      </c>
      <c r="U607" t="str">
        <f t="shared" si="71"/>
        <v>AA0632</v>
      </c>
      <c r="V607">
        <v>0</v>
      </c>
      <c r="W607">
        <v>0</v>
      </c>
      <c r="X607">
        <v>2</v>
      </c>
      <c r="Y607">
        <v>0</v>
      </c>
      <c r="AA607">
        <v>0</v>
      </c>
      <c r="AB607">
        <v>9</v>
      </c>
      <c r="AC607">
        <v>3</v>
      </c>
      <c r="AD607">
        <v>0</v>
      </c>
      <c r="AE607">
        <v>10</v>
      </c>
      <c r="AF607" t="s">
        <v>126</v>
      </c>
      <c r="AG607">
        <v>0</v>
      </c>
      <c r="AH607">
        <v>0</v>
      </c>
      <c r="AI607">
        <v>2</v>
      </c>
      <c r="AJ607">
        <v>0</v>
      </c>
      <c r="AK607" t="s">
        <v>442</v>
      </c>
      <c r="AL607">
        <v>31.92981</v>
      </c>
      <c r="AM607" t="s">
        <v>443</v>
      </c>
      <c r="AN607">
        <v>-101.06250300000001</v>
      </c>
      <c r="AQ607" t="s">
        <v>129</v>
      </c>
      <c r="AR607">
        <v>85</v>
      </c>
      <c r="AS607">
        <v>-33</v>
      </c>
      <c r="AT607">
        <v>-128</v>
      </c>
      <c r="BB607" t="str">
        <f t="shared" si="72"/>
        <v>1200</v>
      </c>
      <c r="BC607">
        <v>1</v>
      </c>
      <c r="BD607" t="str">
        <f t="shared" si="74"/>
        <v xml:space="preserve">N745MB  </v>
      </c>
      <c r="BE607">
        <v>1</v>
      </c>
      <c r="BG607">
        <v>0</v>
      </c>
      <c r="BH607">
        <v>0</v>
      </c>
      <c r="BI607">
        <v>0</v>
      </c>
      <c r="BL607" t="s">
        <v>130</v>
      </c>
      <c r="BM607">
        <v>1</v>
      </c>
      <c r="BN607">
        <v>0</v>
      </c>
      <c r="BO607">
        <v>0</v>
      </c>
      <c r="BP607">
        <v>0</v>
      </c>
      <c r="BT607">
        <v>0</v>
      </c>
      <c r="BU607">
        <v>0</v>
      </c>
      <c r="CE607" t="str">
        <f>"20:23:25.591"</f>
        <v>20:23:25.591</v>
      </c>
      <c r="CF607">
        <v>590581625</v>
      </c>
      <c r="CS607">
        <v>0</v>
      </c>
      <c r="CT607">
        <v>2</v>
      </c>
      <c r="CU607">
        <v>0</v>
      </c>
      <c r="CV607">
        <v>2</v>
      </c>
      <c r="CW607">
        <v>0</v>
      </c>
      <c r="CX607">
        <v>1</v>
      </c>
      <c r="CY607">
        <v>7</v>
      </c>
      <c r="CZ607" t="s">
        <v>131</v>
      </c>
      <c r="DA607">
        <v>116</v>
      </c>
      <c r="DB607">
        <v>3</v>
      </c>
      <c r="DC607" t="s">
        <v>132</v>
      </c>
      <c r="DD607" t="s">
        <v>133</v>
      </c>
      <c r="DG607">
        <v>8330747</v>
      </c>
      <c r="DI607">
        <v>0</v>
      </c>
      <c r="DJ607">
        <v>0</v>
      </c>
      <c r="DK607">
        <v>1</v>
      </c>
      <c r="DL607">
        <v>0</v>
      </c>
      <c r="DM607">
        <v>0</v>
      </c>
      <c r="DN607">
        <v>0</v>
      </c>
      <c r="DO607">
        <v>0</v>
      </c>
      <c r="DP607">
        <v>1</v>
      </c>
      <c r="DQ607">
        <v>0</v>
      </c>
      <c r="DR607">
        <v>0</v>
      </c>
      <c r="DS607">
        <v>0</v>
      </c>
    </row>
    <row r="608" spans="1:123" x14ac:dyDescent="0.25">
      <c r="A608" t="str">
        <f>"11/29/2023 20:23:25.883"</f>
        <v>11/29/2023 20:23:25.883</v>
      </c>
      <c r="C608" t="str">
        <f t="shared" si="73"/>
        <v>FFDF53C0</v>
      </c>
      <c r="D608" t="s">
        <v>123</v>
      </c>
      <c r="E608">
        <v>14</v>
      </c>
      <c r="F608">
        <v>1014</v>
      </c>
      <c r="G608" t="s">
        <v>124</v>
      </c>
      <c r="J608" t="s">
        <v>125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"20:23:25.586"</f>
        <v>20:23:25.586</v>
      </c>
      <c r="T608" t="str">
        <f>"20:23:21.686"</f>
        <v>20:23:21.686</v>
      </c>
      <c r="U608" t="str">
        <f t="shared" si="71"/>
        <v>AA0632</v>
      </c>
      <c r="V608">
        <v>0</v>
      </c>
      <c r="W608">
        <v>0</v>
      </c>
      <c r="X608">
        <v>2</v>
      </c>
      <c r="Y608">
        <v>0</v>
      </c>
      <c r="AA608">
        <v>0</v>
      </c>
      <c r="AB608">
        <v>9</v>
      </c>
      <c r="AC608">
        <v>3</v>
      </c>
      <c r="AD608">
        <v>0</v>
      </c>
      <c r="AE608">
        <v>10</v>
      </c>
      <c r="AF608" t="s">
        <v>126</v>
      </c>
      <c r="AG608">
        <v>0</v>
      </c>
      <c r="AH608">
        <v>0</v>
      </c>
      <c r="AI608">
        <v>2</v>
      </c>
      <c r="AJ608">
        <v>0</v>
      </c>
      <c r="AK608" t="s">
        <v>442</v>
      </c>
      <c r="AL608">
        <v>31.92981</v>
      </c>
      <c r="AM608" t="s">
        <v>443</v>
      </c>
      <c r="AN608">
        <v>-101.06250300000001</v>
      </c>
      <c r="AQ608" t="s">
        <v>129</v>
      </c>
      <c r="AR608">
        <v>85</v>
      </c>
      <c r="AS608">
        <v>-33</v>
      </c>
      <c r="AT608">
        <v>-128</v>
      </c>
      <c r="BB608" t="str">
        <f t="shared" si="72"/>
        <v>1200</v>
      </c>
      <c r="BC608">
        <v>1</v>
      </c>
      <c r="BD608" t="str">
        <f t="shared" si="74"/>
        <v xml:space="preserve">N745MB  </v>
      </c>
      <c r="BE608">
        <v>1</v>
      </c>
      <c r="BG608">
        <v>0</v>
      </c>
      <c r="BH608">
        <v>0</v>
      </c>
      <c r="BI608">
        <v>0</v>
      </c>
      <c r="BL608" t="s">
        <v>130</v>
      </c>
      <c r="BM608">
        <v>1</v>
      </c>
      <c r="BN608">
        <v>0</v>
      </c>
      <c r="BO608">
        <v>0</v>
      </c>
      <c r="BP608">
        <v>0</v>
      </c>
      <c r="BT608">
        <v>0</v>
      </c>
      <c r="BU608">
        <v>0</v>
      </c>
      <c r="CE608" t="str">
        <f>"20:23:25.591"</f>
        <v>20:23:25.591</v>
      </c>
      <c r="CF608">
        <v>590581625</v>
      </c>
      <c r="CS608">
        <v>0</v>
      </c>
      <c r="CT608">
        <v>2</v>
      </c>
      <c r="CU608">
        <v>0</v>
      </c>
      <c r="CV608">
        <v>2</v>
      </c>
      <c r="CW608">
        <v>0</v>
      </c>
      <c r="CX608">
        <v>1</v>
      </c>
      <c r="CY608">
        <v>7</v>
      </c>
      <c r="CZ608" t="s">
        <v>131</v>
      </c>
      <c r="DA608">
        <v>116</v>
      </c>
      <c r="DB608">
        <v>3</v>
      </c>
      <c r="DC608" t="s">
        <v>132</v>
      </c>
      <c r="DD608" t="s">
        <v>133</v>
      </c>
      <c r="DG608">
        <v>8330747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1</v>
      </c>
      <c r="DQ608">
        <v>0</v>
      </c>
      <c r="DR608">
        <v>0</v>
      </c>
      <c r="DS608">
        <v>0</v>
      </c>
    </row>
    <row r="609" spans="1:123" x14ac:dyDescent="0.25">
      <c r="A609" t="str">
        <f>"11/29/2023 20:23:25.883"</f>
        <v>11/29/2023 20:23:25.883</v>
      </c>
      <c r="C609" t="str">
        <f t="shared" si="73"/>
        <v>FFDF53C0</v>
      </c>
      <c r="D609" t="s">
        <v>138</v>
      </c>
      <c r="E609">
        <v>3</v>
      </c>
      <c r="H609">
        <v>160</v>
      </c>
      <c r="I609" t="s">
        <v>124</v>
      </c>
      <c r="J609" t="s">
        <v>139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"20:23:25.586"</f>
        <v>20:23:25.586</v>
      </c>
      <c r="T609" t="str">
        <f>"20:23:21.686"</f>
        <v>20:23:21.686</v>
      </c>
      <c r="U609" t="str">
        <f t="shared" si="71"/>
        <v>AA0632</v>
      </c>
      <c r="V609">
        <v>0</v>
      </c>
      <c r="W609">
        <v>0</v>
      </c>
      <c r="X609">
        <v>2</v>
      </c>
      <c r="Y609">
        <v>0</v>
      </c>
      <c r="AA609">
        <v>0</v>
      </c>
      <c r="AB609">
        <v>9</v>
      </c>
      <c r="AC609">
        <v>3</v>
      </c>
      <c r="AD609">
        <v>0</v>
      </c>
      <c r="AE609">
        <v>10</v>
      </c>
      <c r="AF609" t="s">
        <v>126</v>
      </c>
      <c r="AG609">
        <v>0</v>
      </c>
      <c r="AH609">
        <v>0</v>
      </c>
      <c r="AI609">
        <v>2</v>
      </c>
      <c r="AJ609">
        <v>0</v>
      </c>
      <c r="AK609" t="s">
        <v>442</v>
      </c>
      <c r="AL609">
        <v>31.92981</v>
      </c>
      <c r="AM609" t="s">
        <v>443</v>
      </c>
      <c r="AN609">
        <v>-101.06250300000001</v>
      </c>
      <c r="AQ609" t="s">
        <v>129</v>
      </c>
      <c r="AR609">
        <v>85</v>
      </c>
      <c r="AS609">
        <v>-33</v>
      </c>
      <c r="AT609">
        <v>-128</v>
      </c>
      <c r="BB609" t="str">
        <f t="shared" si="72"/>
        <v>1200</v>
      </c>
      <c r="BC609">
        <v>1</v>
      </c>
      <c r="BD609" t="str">
        <f t="shared" si="74"/>
        <v xml:space="preserve">N745MB  </v>
      </c>
      <c r="BE609">
        <v>1</v>
      </c>
      <c r="BG609">
        <v>0</v>
      </c>
      <c r="BH609">
        <v>0</v>
      </c>
      <c r="BI609">
        <v>0</v>
      </c>
      <c r="BL609" t="s">
        <v>130</v>
      </c>
      <c r="BM609">
        <v>1</v>
      </c>
      <c r="BN609">
        <v>0</v>
      </c>
      <c r="BO609">
        <v>0</v>
      </c>
      <c r="BP609">
        <v>0</v>
      </c>
      <c r="BT609">
        <v>0</v>
      </c>
      <c r="BU609">
        <v>0</v>
      </c>
      <c r="CE609" t="str">
        <f>"20:23:25.591"</f>
        <v>20:23:25.591</v>
      </c>
      <c r="CF609">
        <v>590581625</v>
      </c>
      <c r="CS609">
        <v>0</v>
      </c>
      <c r="CT609">
        <v>2</v>
      </c>
      <c r="CU609">
        <v>0</v>
      </c>
      <c r="CV609">
        <v>2</v>
      </c>
      <c r="CW609">
        <v>0</v>
      </c>
      <c r="CX609">
        <v>1</v>
      </c>
      <c r="CY609">
        <v>7</v>
      </c>
      <c r="CZ609" t="s">
        <v>131</v>
      </c>
      <c r="DA609">
        <v>116</v>
      </c>
      <c r="DB609">
        <v>3</v>
      </c>
      <c r="DC609" t="s">
        <v>132</v>
      </c>
      <c r="DD609" t="s">
        <v>133</v>
      </c>
      <c r="DG609">
        <v>8330747</v>
      </c>
      <c r="DI609">
        <v>0</v>
      </c>
      <c r="DJ609">
        <v>0</v>
      </c>
      <c r="DK609">
        <v>1</v>
      </c>
      <c r="DL609">
        <v>0</v>
      </c>
      <c r="DM609">
        <v>0</v>
      </c>
      <c r="DN609">
        <v>0</v>
      </c>
      <c r="DO609">
        <v>0</v>
      </c>
      <c r="DP609">
        <v>1</v>
      </c>
      <c r="DQ609">
        <v>0</v>
      </c>
      <c r="DR609">
        <v>0</v>
      </c>
      <c r="DS609">
        <v>0</v>
      </c>
    </row>
    <row r="610" spans="1:123" x14ac:dyDescent="0.25">
      <c r="A610" t="str">
        <f>"11/29/2023 20:23:26.961"</f>
        <v>11/29/2023 20:23:26.961</v>
      </c>
      <c r="C610" t="str">
        <f t="shared" si="73"/>
        <v>FFDF53C0</v>
      </c>
      <c r="D610" t="s">
        <v>135</v>
      </c>
      <c r="E610">
        <v>31</v>
      </c>
      <c r="H610">
        <v>285</v>
      </c>
      <c r="I610" t="s">
        <v>136</v>
      </c>
      <c r="J610" t="s">
        <v>137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"20:23:26.594"</f>
        <v>20:23:26.594</v>
      </c>
      <c r="T610" t="str">
        <f>"20:23:26.194"</f>
        <v>20:23:26.194</v>
      </c>
      <c r="U610" t="str">
        <f t="shared" si="71"/>
        <v>AA0632</v>
      </c>
      <c r="V610">
        <v>0</v>
      </c>
      <c r="W610">
        <v>0</v>
      </c>
      <c r="X610">
        <v>2</v>
      </c>
      <c r="Y610">
        <v>0</v>
      </c>
      <c r="AA610">
        <v>0</v>
      </c>
      <c r="AB610">
        <v>9</v>
      </c>
      <c r="AC610">
        <v>3</v>
      </c>
      <c r="AD610">
        <v>0</v>
      </c>
      <c r="AE610">
        <v>10</v>
      </c>
      <c r="AF610" t="s">
        <v>126</v>
      </c>
      <c r="AG610">
        <v>0</v>
      </c>
      <c r="AH610">
        <v>0</v>
      </c>
      <c r="AI610">
        <v>2</v>
      </c>
      <c r="AJ610">
        <v>0</v>
      </c>
      <c r="AK610" t="s">
        <v>444</v>
      </c>
      <c r="AL610">
        <v>31.929617</v>
      </c>
      <c r="AM610" t="s">
        <v>445</v>
      </c>
      <c r="AN610">
        <v>-101.06205199999999</v>
      </c>
      <c r="AQ610" t="s">
        <v>129</v>
      </c>
      <c r="AR610">
        <v>84</v>
      </c>
      <c r="AS610">
        <v>-36</v>
      </c>
      <c r="AT610">
        <v>-192</v>
      </c>
      <c r="BB610" t="str">
        <f t="shared" si="72"/>
        <v>1200</v>
      </c>
      <c r="BC610">
        <v>1</v>
      </c>
      <c r="BD610" t="str">
        <f t="shared" si="74"/>
        <v xml:space="preserve">N745MB  </v>
      </c>
      <c r="BE610">
        <v>1</v>
      </c>
      <c r="BG610">
        <v>0</v>
      </c>
      <c r="BH610">
        <v>0</v>
      </c>
      <c r="BI610">
        <v>0</v>
      </c>
      <c r="BL610" t="s">
        <v>130</v>
      </c>
      <c r="BM610">
        <v>1</v>
      </c>
      <c r="BN610">
        <v>0</v>
      </c>
      <c r="BO610">
        <v>0</v>
      </c>
      <c r="BP610">
        <v>0</v>
      </c>
      <c r="BT610">
        <v>0</v>
      </c>
      <c r="BU610">
        <v>0</v>
      </c>
      <c r="CE610" t="str">
        <f>"20:23:26.595"</f>
        <v>20:23:26.595</v>
      </c>
      <c r="CF610">
        <v>594552117</v>
      </c>
      <c r="CS610">
        <v>0</v>
      </c>
      <c r="CT610">
        <v>2</v>
      </c>
      <c r="CU610">
        <v>0</v>
      </c>
      <c r="CV610">
        <v>2</v>
      </c>
      <c r="CW610">
        <v>0</v>
      </c>
      <c r="CX610">
        <v>1</v>
      </c>
      <c r="CY610">
        <v>7</v>
      </c>
      <c r="CZ610" t="s">
        <v>131</v>
      </c>
      <c r="DA610">
        <v>116</v>
      </c>
      <c r="DB610">
        <v>3</v>
      </c>
      <c r="DC610" t="s">
        <v>132</v>
      </c>
      <c r="DD610" t="s">
        <v>133</v>
      </c>
      <c r="DG610">
        <v>8331339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1</v>
      </c>
      <c r="DQ610">
        <v>0</v>
      </c>
      <c r="DR610">
        <v>0</v>
      </c>
      <c r="DS610">
        <v>0</v>
      </c>
    </row>
    <row r="611" spans="1:123" x14ac:dyDescent="0.25">
      <c r="A611" t="str">
        <f>"11/29/2023 20:23:26.961"</f>
        <v>11/29/2023 20:23:26.961</v>
      </c>
      <c r="C611" t="str">
        <f t="shared" si="73"/>
        <v>FFDF53C0</v>
      </c>
      <c r="D611" t="s">
        <v>123</v>
      </c>
      <c r="E611">
        <v>1</v>
      </c>
      <c r="F611">
        <v>1001</v>
      </c>
      <c r="G611" t="s">
        <v>134</v>
      </c>
      <c r="J611" t="s">
        <v>125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"20:23:26.594"</f>
        <v>20:23:26.594</v>
      </c>
      <c r="T611" t="str">
        <f>"20:23:26.194"</f>
        <v>20:23:26.194</v>
      </c>
      <c r="U611" t="str">
        <f t="shared" si="71"/>
        <v>AA0632</v>
      </c>
      <c r="V611">
        <v>0</v>
      </c>
      <c r="W611">
        <v>0</v>
      </c>
      <c r="X611">
        <v>2</v>
      </c>
      <c r="Y611">
        <v>0</v>
      </c>
      <c r="AA611">
        <v>0</v>
      </c>
      <c r="AB611">
        <v>9</v>
      </c>
      <c r="AC611">
        <v>3</v>
      </c>
      <c r="AD611">
        <v>0</v>
      </c>
      <c r="AE611">
        <v>10</v>
      </c>
      <c r="AF611" t="s">
        <v>126</v>
      </c>
      <c r="AG611">
        <v>0</v>
      </c>
      <c r="AH611">
        <v>0</v>
      </c>
      <c r="AI611">
        <v>2</v>
      </c>
      <c r="AJ611">
        <v>0</v>
      </c>
      <c r="AK611" t="s">
        <v>444</v>
      </c>
      <c r="AL611">
        <v>31.929617</v>
      </c>
      <c r="AM611" t="s">
        <v>445</v>
      </c>
      <c r="AN611">
        <v>-101.06205199999999</v>
      </c>
      <c r="AQ611" t="s">
        <v>129</v>
      </c>
      <c r="AR611">
        <v>84</v>
      </c>
      <c r="AS611">
        <v>-36</v>
      </c>
      <c r="AT611">
        <v>-192</v>
      </c>
      <c r="BB611" t="str">
        <f t="shared" si="72"/>
        <v>1200</v>
      </c>
      <c r="BC611">
        <v>1</v>
      </c>
      <c r="BD611" t="str">
        <f t="shared" si="74"/>
        <v xml:space="preserve">N745MB  </v>
      </c>
      <c r="BE611">
        <v>1</v>
      </c>
      <c r="BG611">
        <v>0</v>
      </c>
      <c r="BH611">
        <v>0</v>
      </c>
      <c r="BI611">
        <v>0</v>
      </c>
      <c r="BL611" t="s">
        <v>130</v>
      </c>
      <c r="BM611">
        <v>1</v>
      </c>
      <c r="BN611">
        <v>0</v>
      </c>
      <c r="BO611">
        <v>0</v>
      </c>
      <c r="BP611">
        <v>0</v>
      </c>
      <c r="BT611">
        <v>0</v>
      </c>
      <c r="BU611">
        <v>0</v>
      </c>
      <c r="CE611" t="str">
        <f>"20:23:26.595"</f>
        <v>20:23:26.595</v>
      </c>
      <c r="CF611">
        <v>594552117</v>
      </c>
      <c r="CS611">
        <v>0</v>
      </c>
      <c r="CT611">
        <v>2</v>
      </c>
      <c r="CU611">
        <v>0</v>
      </c>
      <c r="CV611">
        <v>2</v>
      </c>
      <c r="CW611">
        <v>0</v>
      </c>
      <c r="CX611">
        <v>1</v>
      </c>
      <c r="CY611">
        <v>7</v>
      </c>
      <c r="CZ611" t="s">
        <v>131</v>
      </c>
      <c r="DA611">
        <v>116</v>
      </c>
      <c r="DB611">
        <v>3</v>
      </c>
      <c r="DC611" t="s">
        <v>132</v>
      </c>
      <c r="DD611" t="s">
        <v>133</v>
      </c>
      <c r="DG611">
        <v>8331339</v>
      </c>
      <c r="DI611">
        <v>0</v>
      </c>
      <c r="DJ611">
        <v>0</v>
      </c>
      <c r="DK611">
        <v>1</v>
      </c>
      <c r="DL611">
        <v>0</v>
      </c>
      <c r="DM611">
        <v>0</v>
      </c>
      <c r="DN611">
        <v>0</v>
      </c>
      <c r="DO611">
        <v>0</v>
      </c>
      <c r="DP611">
        <v>1</v>
      </c>
      <c r="DQ611">
        <v>0</v>
      </c>
      <c r="DR611">
        <v>0</v>
      </c>
      <c r="DS611">
        <v>0</v>
      </c>
    </row>
    <row r="612" spans="1:123" x14ac:dyDescent="0.25">
      <c r="A612" t="str">
        <f>"11/29/2023 20:23:26.961"</f>
        <v>11/29/2023 20:23:26.961</v>
      </c>
      <c r="C612" t="str">
        <f t="shared" ref="C612:C622" si="75">"FFDF53C0"</f>
        <v>FFDF53C0</v>
      </c>
      <c r="D612" t="s">
        <v>123</v>
      </c>
      <c r="E612">
        <v>14</v>
      </c>
      <c r="F612">
        <v>1014</v>
      </c>
      <c r="G612" t="s">
        <v>124</v>
      </c>
      <c r="J612" t="s">
        <v>125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"20:23:26.594"</f>
        <v>20:23:26.594</v>
      </c>
      <c r="T612" t="str">
        <f>"20:23:26.194"</f>
        <v>20:23:26.194</v>
      </c>
      <c r="U612" t="str">
        <f t="shared" si="71"/>
        <v>AA0632</v>
      </c>
      <c r="V612">
        <v>0</v>
      </c>
      <c r="W612">
        <v>0</v>
      </c>
      <c r="X612">
        <v>2</v>
      </c>
      <c r="Y612">
        <v>0</v>
      </c>
      <c r="AA612">
        <v>0</v>
      </c>
      <c r="AB612">
        <v>9</v>
      </c>
      <c r="AC612">
        <v>3</v>
      </c>
      <c r="AD612">
        <v>0</v>
      </c>
      <c r="AE612">
        <v>10</v>
      </c>
      <c r="AF612" t="s">
        <v>126</v>
      </c>
      <c r="AG612">
        <v>0</v>
      </c>
      <c r="AH612">
        <v>0</v>
      </c>
      <c r="AI612">
        <v>2</v>
      </c>
      <c r="AJ612">
        <v>0</v>
      </c>
      <c r="AK612" t="s">
        <v>444</v>
      </c>
      <c r="AL612">
        <v>31.929617</v>
      </c>
      <c r="AM612" t="s">
        <v>445</v>
      </c>
      <c r="AN612">
        <v>-101.06205199999999</v>
      </c>
      <c r="AQ612" t="s">
        <v>129</v>
      </c>
      <c r="AR612">
        <v>84</v>
      </c>
      <c r="AS612">
        <v>-36</v>
      </c>
      <c r="AT612">
        <v>-192</v>
      </c>
      <c r="BB612" t="str">
        <f t="shared" si="72"/>
        <v>1200</v>
      </c>
      <c r="BC612">
        <v>1</v>
      </c>
      <c r="BD612" t="str">
        <f t="shared" si="74"/>
        <v xml:space="preserve">N745MB  </v>
      </c>
      <c r="BE612">
        <v>1</v>
      </c>
      <c r="BG612">
        <v>0</v>
      </c>
      <c r="BH612">
        <v>0</v>
      </c>
      <c r="BI612">
        <v>0</v>
      </c>
      <c r="BL612" t="s">
        <v>130</v>
      </c>
      <c r="BM612">
        <v>1</v>
      </c>
      <c r="BN612">
        <v>0</v>
      </c>
      <c r="BO612">
        <v>0</v>
      </c>
      <c r="BP612">
        <v>0</v>
      </c>
      <c r="BT612">
        <v>0</v>
      </c>
      <c r="BU612">
        <v>0</v>
      </c>
      <c r="CE612" t="str">
        <f>"20:23:26.595"</f>
        <v>20:23:26.595</v>
      </c>
      <c r="CF612">
        <v>594552117</v>
      </c>
      <c r="CS612">
        <v>0</v>
      </c>
      <c r="CT612">
        <v>2</v>
      </c>
      <c r="CU612">
        <v>0</v>
      </c>
      <c r="CV612">
        <v>2</v>
      </c>
      <c r="CW612">
        <v>0</v>
      </c>
      <c r="CX612">
        <v>1</v>
      </c>
      <c r="CY612">
        <v>7</v>
      </c>
      <c r="CZ612" t="s">
        <v>131</v>
      </c>
      <c r="DA612">
        <v>116</v>
      </c>
      <c r="DB612">
        <v>3</v>
      </c>
      <c r="DC612" t="s">
        <v>132</v>
      </c>
      <c r="DD612" t="s">
        <v>133</v>
      </c>
      <c r="DG612">
        <v>8331339</v>
      </c>
      <c r="DI612">
        <v>0</v>
      </c>
      <c r="DJ612">
        <v>0</v>
      </c>
      <c r="DK612">
        <v>1</v>
      </c>
      <c r="DL612">
        <v>0</v>
      </c>
      <c r="DM612">
        <v>0</v>
      </c>
      <c r="DN612">
        <v>0</v>
      </c>
      <c r="DO612">
        <v>0</v>
      </c>
      <c r="DP612">
        <v>1</v>
      </c>
      <c r="DQ612">
        <v>0</v>
      </c>
      <c r="DR612">
        <v>0</v>
      </c>
      <c r="DS612">
        <v>0</v>
      </c>
    </row>
    <row r="613" spans="1:123" x14ac:dyDescent="0.25">
      <c r="A613" t="str">
        <f>"11/29/2023 20:23:26.961"</f>
        <v>11/29/2023 20:23:26.961</v>
      </c>
      <c r="C613" t="str">
        <f t="shared" si="75"/>
        <v>FFDF53C0</v>
      </c>
      <c r="D613" t="s">
        <v>138</v>
      </c>
      <c r="E613">
        <v>3</v>
      </c>
      <c r="H613">
        <v>160</v>
      </c>
      <c r="I613" t="s">
        <v>124</v>
      </c>
      <c r="J613" t="s">
        <v>139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"20:23:26.594"</f>
        <v>20:23:26.594</v>
      </c>
      <c r="T613" t="str">
        <f>"20:23:26.194"</f>
        <v>20:23:26.194</v>
      </c>
      <c r="U613" t="str">
        <f t="shared" si="71"/>
        <v>AA0632</v>
      </c>
      <c r="V613">
        <v>0</v>
      </c>
      <c r="W613">
        <v>0</v>
      </c>
      <c r="X613">
        <v>2</v>
      </c>
      <c r="Y613">
        <v>0</v>
      </c>
      <c r="AA613">
        <v>0</v>
      </c>
      <c r="AB613">
        <v>9</v>
      </c>
      <c r="AC613">
        <v>3</v>
      </c>
      <c r="AD613">
        <v>0</v>
      </c>
      <c r="AE613">
        <v>10</v>
      </c>
      <c r="AF613" t="s">
        <v>126</v>
      </c>
      <c r="AG613">
        <v>0</v>
      </c>
      <c r="AH613">
        <v>0</v>
      </c>
      <c r="AI613">
        <v>2</v>
      </c>
      <c r="AJ613">
        <v>0</v>
      </c>
      <c r="AK613" t="s">
        <v>444</v>
      </c>
      <c r="AL613">
        <v>31.929617</v>
      </c>
      <c r="AM613" t="s">
        <v>445</v>
      </c>
      <c r="AN613">
        <v>-101.06205199999999</v>
      </c>
      <c r="AQ613" t="s">
        <v>129</v>
      </c>
      <c r="AR613">
        <v>84</v>
      </c>
      <c r="AS613">
        <v>-36</v>
      </c>
      <c r="AT613">
        <v>-192</v>
      </c>
      <c r="BB613" t="str">
        <f t="shared" si="72"/>
        <v>1200</v>
      </c>
      <c r="BC613">
        <v>1</v>
      </c>
      <c r="BD613" t="str">
        <f t="shared" si="74"/>
        <v xml:space="preserve">N745MB  </v>
      </c>
      <c r="BE613">
        <v>1</v>
      </c>
      <c r="BG613">
        <v>0</v>
      </c>
      <c r="BH613">
        <v>0</v>
      </c>
      <c r="BI613">
        <v>0</v>
      </c>
      <c r="BL613" t="s">
        <v>130</v>
      </c>
      <c r="BM613">
        <v>1</v>
      </c>
      <c r="BN613">
        <v>0</v>
      </c>
      <c r="BO613">
        <v>0</v>
      </c>
      <c r="BP613">
        <v>0</v>
      </c>
      <c r="BT613">
        <v>0</v>
      </c>
      <c r="BU613">
        <v>0</v>
      </c>
      <c r="CE613" t="str">
        <f>"20:23:26.595"</f>
        <v>20:23:26.595</v>
      </c>
      <c r="CF613">
        <v>594552117</v>
      </c>
      <c r="CS613">
        <v>0</v>
      </c>
      <c r="CT613">
        <v>2</v>
      </c>
      <c r="CU613">
        <v>0</v>
      </c>
      <c r="CV613">
        <v>2</v>
      </c>
      <c r="CW613">
        <v>0</v>
      </c>
      <c r="CX613">
        <v>1</v>
      </c>
      <c r="CY613">
        <v>7</v>
      </c>
      <c r="CZ613" t="s">
        <v>131</v>
      </c>
      <c r="DA613">
        <v>116</v>
      </c>
      <c r="DB613">
        <v>3</v>
      </c>
      <c r="DC613" t="s">
        <v>132</v>
      </c>
      <c r="DD613" t="s">
        <v>133</v>
      </c>
      <c r="DG613">
        <v>8331339</v>
      </c>
      <c r="DI613">
        <v>0</v>
      </c>
      <c r="DJ613">
        <v>0</v>
      </c>
      <c r="DK613">
        <v>1</v>
      </c>
      <c r="DL613">
        <v>0</v>
      </c>
      <c r="DM613">
        <v>0</v>
      </c>
      <c r="DN613">
        <v>0</v>
      </c>
      <c r="DO613">
        <v>0</v>
      </c>
      <c r="DP613">
        <v>1</v>
      </c>
      <c r="DQ613">
        <v>0</v>
      </c>
      <c r="DR613">
        <v>0</v>
      </c>
      <c r="DS613">
        <v>0</v>
      </c>
    </row>
    <row r="614" spans="1:123" x14ac:dyDescent="0.25">
      <c r="A614" t="str">
        <f>"11/29/2023 20:23:30.102"</f>
        <v>11/29/2023 20:23:30.102</v>
      </c>
      <c r="C614" t="str">
        <f t="shared" si="75"/>
        <v>FFDF53C0</v>
      </c>
      <c r="D614" t="s">
        <v>135</v>
      </c>
      <c r="E614">
        <v>31</v>
      </c>
      <c r="H614">
        <v>285</v>
      </c>
      <c r="I614" t="s">
        <v>136</v>
      </c>
      <c r="J614" t="s">
        <v>137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"20:23:29.609"</f>
        <v>20:23:29.609</v>
      </c>
      <c r="T614" t="str">
        <f>"20:23:27.709"</f>
        <v>20:23:27.709</v>
      </c>
      <c r="U614" t="str">
        <f t="shared" si="71"/>
        <v>AA0632</v>
      </c>
      <c r="V614">
        <v>0</v>
      </c>
      <c r="W614">
        <v>0</v>
      </c>
      <c r="X614">
        <v>2</v>
      </c>
      <c r="Y614">
        <v>0</v>
      </c>
      <c r="AA614">
        <v>0</v>
      </c>
      <c r="AB614">
        <v>9</v>
      </c>
      <c r="AC614">
        <v>3</v>
      </c>
      <c r="AD614">
        <v>0</v>
      </c>
      <c r="AE614">
        <v>10</v>
      </c>
      <c r="AF614" t="s">
        <v>126</v>
      </c>
      <c r="AG614">
        <v>0</v>
      </c>
      <c r="AH614">
        <v>0</v>
      </c>
      <c r="AI614">
        <v>2</v>
      </c>
      <c r="AJ614">
        <v>0</v>
      </c>
      <c r="AK614" t="s">
        <v>446</v>
      </c>
      <c r="AL614">
        <v>31.929102</v>
      </c>
      <c r="AM614" t="s">
        <v>447</v>
      </c>
      <c r="AN614">
        <v>-101.0607</v>
      </c>
      <c r="AQ614" t="s">
        <v>129</v>
      </c>
      <c r="AR614">
        <v>83</v>
      </c>
      <c r="AS614">
        <v>-36</v>
      </c>
      <c r="AT614">
        <v>-128</v>
      </c>
      <c r="BB614" t="str">
        <f t="shared" si="72"/>
        <v>1200</v>
      </c>
      <c r="BC614">
        <v>1</v>
      </c>
      <c r="BD614" t="str">
        <f t="shared" si="74"/>
        <v xml:space="preserve">N745MB  </v>
      </c>
      <c r="BE614">
        <v>1</v>
      </c>
      <c r="BG614">
        <v>0</v>
      </c>
      <c r="BH614">
        <v>0</v>
      </c>
      <c r="BI614">
        <v>0</v>
      </c>
      <c r="BL614" t="s">
        <v>130</v>
      </c>
      <c r="BM614">
        <v>1</v>
      </c>
      <c r="BN614">
        <v>0</v>
      </c>
      <c r="BO614">
        <v>0</v>
      </c>
      <c r="BP614">
        <v>0</v>
      </c>
      <c r="BT614">
        <v>0</v>
      </c>
      <c r="BU614">
        <v>0</v>
      </c>
      <c r="CE614" t="str">
        <f>"20:23:29.610"</f>
        <v>20:23:29.610</v>
      </c>
      <c r="CF614">
        <v>610312138</v>
      </c>
      <c r="CS614">
        <v>0</v>
      </c>
      <c r="CT614">
        <v>2</v>
      </c>
      <c r="CU614">
        <v>0</v>
      </c>
      <c r="CV614">
        <v>2</v>
      </c>
      <c r="CW614">
        <v>0</v>
      </c>
      <c r="CX614">
        <v>1</v>
      </c>
      <c r="CY614">
        <v>7</v>
      </c>
      <c r="CZ614" t="s">
        <v>131</v>
      </c>
      <c r="DA614">
        <v>116</v>
      </c>
      <c r="DB614">
        <v>3</v>
      </c>
      <c r="DC614" t="s">
        <v>132</v>
      </c>
      <c r="DD614" t="s">
        <v>133</v>
      </c>
      <c r="DG614">
        <v>8333071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1</v>
      </c>
      <c r="DQ614">
        <v>0</v>
      </c>
      <c r="DR614">
        <v>0</v>
      </c>
      <c r="DS614">
        <v>0</v>
      </c>
    </row>
    <row r="615" spans="1:123" x14ac:dyDescent="0.25">
      <c r="A615" t="str">
        <f>"11/29/2023 20:23:30.102"</f>
        <v>11/29/2023 20:23:30.102</v>
      </c>
      <c r="C615" t="str">
        <f t="shared" si="75"/>
        <v>FFDF53C0</v>
      </c>
      <c r="D615" t="s">
        <v>123</v>
      </c>
      <c r="E615">
        <v>1</v>
      </c>
      <c r="F615">
        <v>1001</v>
      </c>
      <c r="G615" t="s">
        <v>134</v>
      </c>
      <c r="J615" t="s">
        <v>125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"20:23:29.609"</f>
        <v>20:23:29.609</v>
      </c>
      <c r="T615" t="str">
        <f>"20:23:27.709"</f>
        <v>20:23:27.709</v>
      </c>
      <c r="U615" t="str">
        <f t="shared" si="71"/>
        <v>AA0632</v>
      </c>
      <c r="V615">
        <v>0</v>
      </c>
      <c r="W615">
        <v>0</v>
      </c>
      <c r="X615">
        <v>2</v>
      </c>
      <c r="Y615">
        <v>0</v>
      </c>
      <c r="AA615">
        <v>0</v>
      </c>
      <c r="AB615">
        <v>9</v>
      </c>
      <c r="AC615">
        <v>3</v>
      </c>
      <c r="AD615">
        <v>0</v>
      </c>
      <c r="AE615">
        <v>10</v>
      </c>
      <c r="AF615" t="s">
        <v>126</v>
      </c>
      <c r="AG615">
        <v>0</v>
      </c>
      <c r="AH615">
        <v>0</v>
      </c>
      <c r="AI615">
        <v>2</v>
      </c>
      <c r="AJ615">
        <v>0</v>
      </c>
      <c r="AK615" t="s">
        <v>446</v>
      </c>
      <c r="AL615">
        <v>31.929102</v>
      </c>
      <c r="AM615" t="s">
        <v>447</v>
      </c>
      <c r="AN615">
        <v>-101.0607</v>
      </c>
      <c r="AQ615" t="s">
        <v>129</v>
      </c>
      <c r="AR615">
        <v>83</v>
      </c>
      <c r="AS615">
        <v>-36</v>
      </c>
      <c r="AT615">
        <v>-128</v>
      </c>
      <c r="BB615" t="str">
        <f t="shared" si="72"/>
        <v>1200</v>
      </c>
      <c r="BC615">
        <v>1</v>
      </c>
      <c r="BD615" t="str">
        <f t="shared" si="74"/>
        <v xml:space="preserve">N745MB  </v>
      </c>
      <c r="BE615">
        <v>1</v>
      </c>
      <c r="BG615">
        <v>0</v>
      </c>
      <c r="BH615">
        <v>0</v>
      </c>
      <c r="BI615">
        <v>0</v>
      </c>
      <c r="BL615" t="s">
        <v>130</v>
      </c>
      <c r="BM615">
        <v>1</v>
      </c>
      <c r="BN615">
        <v>0</v>
      </c>
      <c r="BO615">
        <v>0</v>
      </c>
      <c r="BP615">
        <v>0</v>
      </c>
      <c r="BT615">
        <v>0</v>
      </c>
      <c r="BU615">
        <v>0</v>
      </c>
      <c r="CE615" t="str">
        <f>"20:23:29.610"</f>
        <v>20:23:29.610</v>
      </c>
      <c r="CF615">
        <v>610312138</v>
      </c>
      <c r="CS615">
        <v>0</v>
      </c>
      <c r="CT615">
        <v>2</v>
      </c>
      <c r="CU615">
        <v>0</v>
      </c>
      <c r="CV615">
        <v>2</v>
      </c>
      <c r="CW615">
        <v>0</v>
      </c>
      <c r="CX615">
        <v>1</v>
      </c>
      <c r="CY615">
        <v>7</v>
      </c>
      <c r="CZ615" t="s">
        <v>131</v>
      </c>
      <c r="DA615">
        <v>116</v>
      </c>
      <c r="DB615">
        <v>3</v>
      </c>
      <c r="DC615" t="s">
        <v>132</v>
      </c>
      <c r="DD615" t="s">
        <v>133</v>
      </c>
      <c r="DG615">
        <v>8333071</v>
      </c>
      <c r="DI615">
        <v>0</v>
      </c>
      <c r="DJ615">
        <v>0</v>
      </c>
      <c r="DK615">
        <v>1</v>
      </c>
      <c r="DL615">
        <v>0</v>
      </c>
      <c r="DM615">
        <v>0</v>
      </c>
      <c r="DN615">
        <v>0</v>
      </c>
      <c r="DO615">
        <v>0</v>
      </c>
      <c r="DP615">
        <v>1</v>
      </c>
      <c r="DQ615">
        <v>0</v>
      </c>
      <c r="DR615">
        <v>0</v>
      </c>
      <c r="DS615">
        <v>0</v>
      </c>
    </row>
    <row r="616" spans="1:123" x14ac:dyDescent="0.25">
      <c r="A616" t="str">
        <f>"11/29/2023 20:23:30.102"</f>
        <v>11/29/2023 20:23:30.102</v>
      </c>
      <c r="C616" t="str">
        <f t="shared" si="75"/>
        <v>FFDF53C0</v>
      </c>
      <c r="D616" t="s">
        <v>123</v>
      </c>
      <c r="E616">
        <v>14</v>
      </c>
      <c r="F616">
        <v>1014</v>
      </c>
      <c r="G616" t="s">
        <v>124</v>
      </c>
      <c r="J616" t="s">
        <v>125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"20:23:29.609"</f>
        <v>20:23:29.609</v>
      </c>
      <c r="T616" t="str">
        <f>"20:23:27.709"</f>
        <v>20:23:27.709</v>
      </c>
      <c r="U616" t="str">
        <f t="shared" si="71"/>
        <v>AA0632</v>
      </c>
      <c r="V616">
        <v>0</v>
      </c>
      <c r="W616">
        <v>0</v>
      </c>
      <c r="X616">
        <v>2</v>
      </c>
      <c r="Y616">
        <v>0</v>
      </c>
      <c r="AA616">
        <v>0</v>
      </c>
      <c r="AB616">
        <v>9</v>
      </c>
      <c r="AC616">
        <v>3</v>
      </c>
      <c r="AD616">
        <v>0</v>
      </c>
      <c r="AE616">
        <v>10</v>
      </c>
      <c r="AF616" t="s">
        <v>126</v>
      </c>
      <c r="AG616">
        <v>0</v>
      </c>
      <c r="AH616">
        <v>0</v>
      </c>
      <c r="AI616">
        <v>2</v>
      </c>
      <c r="AJ616">
        <v>0</v>
      </c>
      <c r="AK616" t="s">
        <v>446</v>
      </c>
      <c r="AL616">
        <v>31.929102</v>
      </c>
      <c r="AM616" t="s">
        <v>447</v>
      </c>
      <c r="AN616">
        <v>-101.0607</v>
      </c>
      <c r="AQ616" t="s">
        <v>129</v>
      </c>
      <c r="AR616">
        <v>83</v>
      </c>
      <c r="AS616">
        <v>-36</v>
      </c>
      <c r="AT616">
        <v>-128</v>
      </c>
      <c r="BB616" t="str">
        <f t="shared" si="72"/>
        <v>1200</v>
      </c>
      <c r="BC616">
        <v>1</v>
      </c>
      <c r="BD616" t="str">
        <f t="shared" si="74"/>
        <v xml:space="preserve">N745MB  </v>
      </c>
      <c r="BE616">
        <v>1</v>
      </c>
      <c r="BG616">
        <v>0</v>
      </c>
      <c r="BH616">
        <v>0</v>
      </c>
      <c r="BI616">
        <v>0</v>
      </c>
      <c r="BL616" t="s">
        <v>130</v>
      </c>
      <c r="BM616">
        <v>1</v>
      </c>
      <c r="BN616">
        <v>0</v>
      </c>
      <c r="BO616">
        <v>0</v>
      </c>
      <c r="BP616">
        <v>0</v>
      </c>
      <c r="BT616">
        <v>0</v>
      </c>
      <c r="BU616">
        <v>0</v>
      </c>
      <c r="CE616" t="str">
        <f>"20:23:29.610"</f>
        <v>20:23:29.610</v>
      </c>
      <c r="CF616">
        <v>610312138</v>
      </c>
      <c r="CS616">
        <v>0</v>
      </c>
      <c r="CT616">
        <v>2</v>
      </c>
      <c r="CU616">
        <v>0</v>
      </c>
      <c r="CV616">
        <v>2</v>
      </c>
      <c r="CW616">
        <v>0</v>
      </c>
      <c r="CX616">
        <v>1</v>
      </c>
      <c r="CY616">
        <v>7</v>
      </c>
      <c r="CZ616" t="s">
        <v>131</v>
      </c>
      <c r="DA616">
        <v>116</v>
      </c>
      <c r="DB616">
        <v>3</v>
      </c>
      <c r="DC616" t="s">
        <v>132</v>
      </c>
      <c r="DD616" t="s">
        <v>133</v>
      </c>
      <c r="DG616">
        <v>8333071</v>
      </c>
      <c r="DI616">
        <v>0</v>
      </c>
      <c r="DJ616">
        <v>0</v>
      </c>
      <c r="DK616">
        <v>1</v>
      </c>
      <c r="DL616">
        <v>0</v>
      </c>
      <c r="DM616">
        <v>0</v>
      </c>
      <c r="DN616">
        <v>0</v>
      </c>
      <c r="DO616">
        <v>0</v>
      </c>
      <c r="DP616">
        <v>1</v>
      </c>
      <c r="DQ616">
        <v>0</v>
      </c>
      <c r="DR616">
        <v>0</v>
      </c>
      <c r="DS616">
        <v>0</v>
      </c>
    </row>
    <row r="617" spans="1:123" x14ac:dyDescent="0.25">
      <c r="A617" t="str">
        <f>"11/29/2023 20:23:30.164"</f>
        <v>11/29/2023 20:23:30.164</v>
      </c>
      <c r="C617" t="str">
        <f t="shared" si="75"/>
        <v>FFDF53C0</v>
      </c>
      <c r="D617" t="s">
        <v>138</v>
      </c>
      <c r="E617">
        <v>3</v>
      </c>
      <c r="H617">
        <v>160</v>
      </c>
      <c r="I617" t="s">
        <v>124</v>
      </c>
      <c r="J617" t="s">
        <v>139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"20:23:29.609"</f>
        <v>20:23:29.609</v>
      </c>
      <c r="T617" t="str">
        <f>"20:23:27.709"</f>
        <v>20:23:27.709</v>
      </c>
      <c r="U617" t="str">
        <f t="shared" si="71"/>
        <v>AA0632</v>
      </c>
      <c r="V617">
        <v>0</v>
      </c>
      <c r="W617">
        <v>0</v>
      </c>
      <c r="X617">
        <v>2</v>
      </c>
      <c r="Y617">
        <v>0</v>
      </c>
      <c r="AA617">
        <v>0</v>
      </c>
      <c r="AB617">
        <v>9</v>
      </c>
      <c r="AC617">
        <v>3</v>
      </c>
      <c r="AD617">
        <v>0</v>
      </c>
      <c r="AE617">
        <v>10</v>
      </c>
      <c r="AF617" t="s">
        <v>126</v>
      </c>
      <c r="AG617">
        <v>0</v>
      </c>
      <c r="AH617">
        <v>0</v>
      </c>
      <c r="AI617">
        <v>2</v>
      </c>
      <c r="AJ617">
        <v>0</v>
      </c>
      <c r="AK617" t="s">
        <v>446</v>
      </c>
      <c r="AL617">
        <v>31.929102</v>
      </c>
      <c r="AM617" t="s">
        <v>447</v>
      </c>
      <c r="AN617">
        <v>-101.0607</v>
      </c>
      <c r="AQ617" t="s">
        <v>129</v>
      </c>
      <c r="AR617">
        <v>83</v>
      </c>
      <c r="AS617">
        <v>-36</v>
      </c>
      <c r="AT617">
        <v>-128</v>
      </c>
      <c r="BB617" t="str">
        <f t="shared" si="72"/>
        <v>1200</v>
      </c>
      <c r="BC617">
        <v>1</v>
      </c>
      <c r="BD617" t="str">
        <f t="shared" si="74"/>
        <v xml:space="preserve">N745MB  </v>
      </c>
      <c r="BE617">
        <v>1</v>
      </c>
      <c r="BG617">
        <v>0</v>
      </c>
      <c r="BH617">
        <v>0</v>
      </c>
      <c r="BI617">
        <v>0</v>
      </c>
      <c r="BL617" t="s">
        <v>130</v>
      </c>
      <c r="BM617">
        <v>1</v>
      </c>
      <c r="BN617">
        <v>0</v>
      </c>
      <c r="BO617">
        <v>0</v>
      </c>
      <c r="BP617">
        <v>0</v>
      </c>
      <c r="BT617">
        <v>0</v>
      </c>
      <c r="BU617">
        <v>0</v>
      </c>
      <c r="CE617" t="str">
        <f>"20:23:29.610"</f>
        <v>20:23:29.610</v>
      </c>
      <c r="CF617">
        <v>610312138</v>
      </c>
      <c r="CS617">
        <v>0</v>
      </c>
      <c r="CT617">
        <v>2</v>
      </c>
      <c r="CU617">
        <v>0</v>
      </c>
      <c r="CV617">
        <v>2</v>
      </c>
      <c r="CW617">
        <v>0</v>
      </c>
      <c r="CX617">
        <v>1</v>
      </c>
      <c r="CY617">
        <v>7</v>
      </c>
      <c r="CZ617" t="s">
        <v>131</v>
      </c>
      <c r="DA617">
        <v>116</v>
      </c>
      <c r="DB617">
        <v>3</v>
      </c>
      <c r="DC617" t="s">
        <v>132</v>
      </c>
      <c r="DD617" t="s">
        <v>133</v>
      </c>
      <c r="DG617">
        <v>8333071</v>
      </c>
      <c r="DI617">
        <v>0</v>
      </c>
      <c r="DJ617">
        <v>0</v>
      </c>
      <c r="DK617">
        <v>1</v>
      </c>
      <c r="DL617">
        <v>0</v>
      </c>
      <c r="DM617">
        <v>0</v>
      </c>
      <c r="DN617">
        <v>0</v>
      </c>
      <c r="DO617">
        <v>0</v>
      </c>
      <c r="DP617">
        <v>1</v>
      </c>
      <c r="DQ617">
        <v>0</v>
      </c>
      <c r="DR617">
        <v>0</v>
      </c>
      <c r="DS617">
        <v>0</v>
      </c>
    </row>
    <row r="618" spans="1:123" x14ac:dyDescent="0.25">
      <c r="A618" t="str">
        <f>"11/29/2023 20:23:37.086"</f>
        <v>11/29/2023 20:23:37.086</v>
      </c>
      <c r="C618" t="str">
        <f t="shared" si="75"/>
        <v>FFDF53C0</v>
      </c>
      <c r="D618" t="s">
        <v>135</v>
      </c>
      <c r="E618">
        <v>31</v>
      </c>
      <c r="H618">
        <v>285</v>
      </c>
      <c r="I618" t="s">
        <v>136</v>
      </c>
      <c r="J618" t="s">
        <v>137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"20:23:36.531"</f>
        <v>20:23:36.531</v>
      </c>
      <c r="T618" t="str">
        <f>"20:23:32.331"</f>
        <v>20:23:32.331</v>
      </c>
      <c r="U618" t="str">
        <f t="shared" si="71"/>
        <v>AA0632</v>
      </c>
      <c r="V618">
        <v>0</v>
      </c>
      <c r="W618">
        <v>0</v>
      </c>
      <c r="X618">
        <v>2</v>
      </c>
      <c r="Y618">
        <v>0</v>
      </c>
      <c r="AA618">
        <v>0</v>
      </c>
      <c r="AB618">
        <v>9</v>
      </c>
      <c r="AC618">
        <v>3</v>
      </c>
      <c r="AD618">
        <v>0</v>
      </c>
      <c r="AE618">
        <v>10</v>
      </c>
      <c r="AF618" t="s">
        <v>126</v>
      </c>
      <c r="AG618">
        <v>0</v>
      </c>
      <c r="AH618">
        <v>0</v>
      </c>
      <c r="AI618">
        <v>2</v>
      </c>
      <c r="AJ618">
        <v>0</v>
      </c>
      <c r="AK618" t="s">
        <v>448</v>
      </c>
      <c r="AL618">
        <v>31.927900000000001</v>
      </c>
      <c r="AM618" t="s">
        <v>449</v>
      </c>
      <c r="AN618">
        <v>-101.057739</v>
      </c>
      <c r="AQ618" t="s">
        <v>129</v>
      </c>
      <c r="AR618">
        <v>80</v>
      </c>
      <c r="AS618">
        <v>-37</v>
      </c>
      <c r="AT618">
        <v>0</v>
      </c>
      <c r="BB618" t="str">
        <f t="shared" si="72"/>
        <v>1200</v>
      </c>
      <c r="BC618">
        <v>1</v>
      </c>
      <c r="BD618" t="str">
        <f t="shared" si="74"/>
        <v xml:space="preserve">N745MB  </v>
      </c>
      <c r="BE618">
        <v>1</v>
      </c>
      <c r="BG618">
        <v>0</v>
      </c>
      <c r="BH618">
        <v>0</v>
      </c>
      <c r="BI618">
        <v>0</v>
      </c>
      <c r="BL618" t="s">
        <v>130</v>
      </c>
      <c r="BM618">
        <v>1</v>
      </c>
      <c r="BN618">
        <v>0</v>
      </c>
      <c r="BO618">
        <v>0</v>
      </c>
      <c r="BP618">
        <v>0</v>
      </c>
      <c r="BT618">
        <v>0</v>
      </c>
      <c r="BU618">
        <v>0</v>
      </c>
      <c r="CE618" t="str">
        <f>"20:23:36.538"</f>
        <v>20:23:36.538</v>
      </c>
      <c r="CF618">
        <v>537844530</v>
      </c>
      <c r="CS618">
        <v>0</v>
      </c>
      <c r="CT618">
        <v>2</v>
      </c>
      <c r="CU618">
        <v>0</v>
      </c>
      <c r="CV618">
        <v>2</v>
      </c>
      <c r="CW618">
        <v>0</v>
      </c>
      <c r="CX618">
        <v>1</v>
      </c>
      <c r="CY618">
        <v>7</v>
      </c>
      <c r="CZ618" t="s">
        <v>131</v>
      </c>
      <c r="DA618">
        <v>116</v>
      </c>
      <c r="DB618">
        <v>3</v>
      </c>
      <c r="DC618" t="s">
        <v>132</v>
      </c>
      <c r="DD618" t="s">
        <v>133</v>
      </c>
      <c r="DG618">
        <v>8336959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1</v>
      </c>
      <c r="DQ618">
        <v>0</v>
      </c>
      <c r="DR618">
        <v>0</v>
      </c>
      <c r="DS618">
        <v>0</v>
      </c>
    </row>
    <row r="619" spans="1:123" x14ac:dyDescent="0.25">
      <c r="A619" t="str">
        <f>"11/29/2023 20:23:37.086"</f>
        <v>11/29/2023 20:23:37.086</v>
      </c>
      <c r="C619" t="str">
        <f t="shared" si="75"/>
        <v>FFDF53C0</v>
      </c>
      <c r="D619" t="s">
        <v>123</v>
      </c>
      <c r="E619">
        <v>1</v>
      </c>
      <c r="F619">
        <v>1001</v>
      </c>
      <c r="G619" t="s">
        <v>134</v>
      </c>
      <c r="J619" t="s">
        <v>125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"20:23:36.531"</f>
        <v>20:23:36.531</v>
      </c>
      <c r="T619" t="str">
        <f>"20:23:32.331"</f>
        <v>20:23:32.331</v>
      </c>
      <c r="U619" t="str">
        <f t="shared" si="71"/>
        <v>AA0632</v>
      </c>
      <c r="V619">
        <v>0</v>
      </c>
      <c r="W619">
        <v>0</v>
      </c>
      <c r="X619">
        <v>2</v>
      </c>
      <c r="Y619">
        <v>0</v>
      </c>
      <c r="AA619">
        <v>0</v>
      </c>
      <c r="AB619">
        <v>9</v>
      </c>
      <c r="AC619">
        <v>3</v>
      </c>
      <c r="AD619">
        <v>0</v>
      </c>
      <c r="AE619">
        <v>10</v>
      </c>
      <c r="AF619" t="s">
        <v>126</v>
      </c>
      <c r="AG619">
        <v>0</v>
      </c>
      <c r="AH619">
        <v>0</v>
      </c>
      <c r="AI619">
        <v>2</v>
      </c>
      <c r="AJ619">
        <v>0</v>
      </c>
      <c r="AK619" t="s">
        <v>448</v>
      </c>
      <c r="AL619">
        <v>31.927900000000001</v>
      </c>
      <c r="AM619" t="s">
        <v>449</v>
      </c>
      <c r="AN619">
        <v>-101.057739</v>
      </c>
      <c r="AQ619" t="s">
        <v>129</v>
      </c>
      <c r="AR619">
        <v>80</v>
      </c>
      <c r="AS619">
        <v>-37</v>
      </c>
      <c r="AT619">
        <v>0</v>
      </c>
      <c r="BB619" t="str">
        <f t="shared" si="72"/>
        <v>1200</v>
      </c>
      <c r="BC619">
        <v>1</v>
      </c>
      <c r="BD619" t="str">
        <f t="shared" si="74"/>
        <v xml:space="preserve">N745MB  </v>
      </c>
      <c r="BE619">
        <v>1</v>
      </c>
      <c r="BG619">
        <v>0</v>
      </c>
      <c r="BH619">
        <v>0</v>
      </c>
      <c r="BI619">
        <v>0</v>
      </c>
      <c r="BL619" t="s">
        <v>130</v>
      </c>
      <c r="BM619">
        <v>1</v>
      </c>
      <c r="BN619">
        <v>0</v>
      </c>
      <c r="BO619">
        <v>0</v>
      </c>
      <c r="BP619">
        <v>0</v>
      </c>
      <c r="BT619">
        <v>0</v>
      </c>
      <c r="BU619">
        <v>0</v>
      </c>
      <c r="CE619" t="str">
        <f>"20:23:36.538"</f>
        <v>20:23:36.538</v>
      </c>
      <c r="CF619">
        <v>537844530</v>
      </c>
      <c r="CS619">
        <v>0</v>
      </c>
      <c r="CT619">
        <v>2</v>
      </c>
      <c r="CU619">
        <v>0</v>
      </c>
      <c r="CV619">
        <v>2</v>
      </c>
      <c r="CW619">
        <v>0</v>
      </c>
      <c r="CX619">
        <v>1</v>
      </c>
      <c r="CY619">
        <v>7</v>
      </c>
      <c r="CZ619" t="s">
        <v>131</v>
      </c>
      <c r="DA619">
        <v>116</v>
      </c>
      <c r="DB619">
        <v>3</v>
      </c>
      <c r="DC619" t="s">
        <v>132</v>
      </c>
      <c r="DD619" t="s">
        <v>133</v>
      </c>
      <c r="DG619">
        <v>8336959</v>
      </c>
      <c r="DI619">
        <v>0</v>
      </c>
      <c r="DJ619">
        <v>0</v>
      </c>
      <c r="DK619">
        <v>1</v>
      </c>
      <c r="DL619">
        <v>0</v>
      </c>
      <c r="DM619">
        <v>0</v>
      </c>
      <c r="DN619">
        <v>0</v>
      </c>
      <c r="DO619">
        <v>0</v>
      </c>
      <c r="DP619">
        <v>1</v>
      </c>
      <c r="DQ619">
        <v>0</v>
      </c>
      <c r="DR619">
        <v>0</v>
      </c>
      <c r="DS619">
        <v>0</v>
      </c>
    </row>
    <row r="620" spans="1:123" x14ac:dyDescent="0.25">
      <c r="A620" t="str">
        <f>"11/29/2023 20:23:37.086"</f>
        <v>11/29/2023 20:23:37.086</v>
      </c>
      <c r="C620" t="str">
        <f t="shared" si="75"/>
        <v>FFDF53C0</v>
      </c>
      <c r="D620" t="s">
        <v>123</v>
      </c>
      <c r="E620">
        <v>14</v>
      </c>
      <c r="F620">
        <v>1014</v>
      </c>
      <c r="G620" t="s">
        <v>124</v>
      </c>
      <c r="J620" t="s">
        <v>125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"20:23:36.531"</f>
        <v>20:23:36.531</v>
      </c>
      <c r="T620" t="str">
        <f>"20:23:32.331"</f>
        <v>20:23:32.331</v>
      </c>
      <c r="U620" t="str">
        <f t="shared" si="71"/>
        <v>AA0632</v>
      </c>
      <c r="V620">
        <v>0</v>
      </c>
      <c r="W620">
        <v>0</v>
      </c>
      <c r="X620">
        <v>2</v>
      </c>
      <c r="Y620">
        <v>0</v>
      </c>
      <c r="AA620">
        <v>0</v>
      </c>
      <c r="AB620">
        <v>9</v>
      </c>
      <c r="AC620">
        <v>3</v>
      </c>
      <c r="AD620">
        <v>0</v>
      </c>
      <c r="AE620">
        <v>10</v>
      </c>
      <c r="AF620" t="s">
        <v>126</v>
      </c>
      <c r="AG620">
        <v>0</v>
      </c>
      <c r="AH620">
        <v>0</v>
      </c>
      <c r="AI620">
        <v>2</v>
      </c>
      <c r="AJ620">
        <v>0</v>
      </c>
      <c r="AK620" t="s">
        <v>448</v>
      </c>
      <c r="AL620">
        <v>31.927900000000001</v>
      </c>
      <c r="AM620" t="s">
        <v>449</v>
      </c>
      <c r="AN620">
        <v>-101.057739</v>
      </c>
      <c r="AQ620" t="s">
        <v>129</v>
      </c>
      <c r="AR620">
        <v>80</v>
      </c>
      <c r="AS620">
        <v>-37</v>
      </c>
      <c r="AT620">
        <v>0</v>
      </c>
      <c r="BB620" t="str">
        <f t="shared" si="72"/>
        <v>1200</v>
      </c>
      <c r="BC620">
        <v>1</v>
      </c>
      <c r="BD620" t="str">
        <f t="shared" si="74"/>
        <v xml:space="preserve">N745MB  </v>
      </c>
      <c r="BE620">
        <v>1</v>
      </c>
      <c r="BG620">
        <v>0</v>
      </c>
      <c r="BH620">
        <v>0</v>
      </c>
      <c r="BI620">
        <v>0</v>
      </c>
      <c r="BL620" t="s">
        <v>130</v>
      </c>
      <c r="BM620">
        <v>1</v>
      </c>
      <c r="BN620">
        <v>0</v>
      </c>
      <c r="BO620">
        <v>0</v>
      </c>
      <c r="BP620">
        <v>0</v>
      </c>
      <c r="BT620">
        <v>0</v>
      </c>
      <c r="BU620">
        <v>0</v>
      </c>
      <c r="CE620" t="str">
        <f>"20:23:36.538"</f>
        <v>20:23:36.538</v>
      </c>
      <c r="CF620">
        <v>537844530</v>
      </c>
      <c r="CS620">
        <v>0</v>
      </c>
      <c r="CT620">
        <v>2</v>
      </c>
      <c r="CU620">
        <v>0</v>
      </c>
      <c r="CV620">
        <v>2</v>
      </c>
      <c r="CW620">
        <v>0</v>
      </c>
      <c r="CX620">
        <v>1</v>
      </c>
      <c r="CY620">
        <v>7</v>
      </c>
      <c r="CZ620" t="s">
        <v>131</v>
      </c>
      <c r="DA620">
        <v>116</v>
      </c>
      <c r="DB620">
        <v>3</v>
      </c>
      <c r="DC620" t="s">
        <v>132</v>
      </c>
      <c r="DD620" t="s">
        <v>133</v>
      </c>
      <c r="DG620">
        <v>8336959</v>
      </c>
      <c r="DI620">
        <v>0</v>
      </c>
      <c r="DJ620">
        <v>0</v>
      </c>
      <c r="DK620">
        <v>1</v>
      </c>
      <c r="DL620">
        <v>0</v>
      </c>
      <c r="DM620">
        <v>0</v>
      </c>
      <c r="DN620">
        <v>0</v>
      </c>
      <c r="DO620">
        <v>0</v>
      </c>
      <c r="DP620">
        <v>1</v>
      </c>
      <c r="DQ620">
        <v>0</v>
      </c>
      <c r="DR620">
        <v>0</v>
      </c>
      <c r="DS620">
        <v>0</v>
      </c>
    </row>
    <row r="621" spans="1:123" x14ac:dyDescent="0.25">
      <c r="A621" t="str">
        <f>"11/29/2023 20:23:37.086"</f>
        <v>11/29/2023 20:23:37.086</v>
      </c>
      <c r="C621" t="str">
        <f t="shared" si="75"/>
        <v>FFDF53C0</v>
      </c>
      <c r="D621" t="s">
        <v>138</v>
      </c>
      <c r="E621">
        <v>3</v>
      </c>
      <c r="H621">
        <v>160</v>
      </c>
      <c r="I621" t="s">
        <v>124</v>
      </c>
      <c r="J621" t="s">
        <v>139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"20:23:36.531"</f>
        <v>20:23:36.531</v>
      </c>
      <c r="T621" t="str">
        <f>"20:23:32.331"</f>
        <v>20:23:32.331</v>
      </c>
      <c r="U621" t="str">
        <f t="shared" si="71"/>
        <v>AA0632</v>
      </c>
      <c r="V621">
        <v>0</v>
      </c>
      <c r="W621">
        <v>0</v>
      </c>
      <c r="X621">
        <v>2</v>
      </c>
      <c r="Y621">
        <v>0</v>
      </c>
      <c r="AA621">
        <v>0</v>
      </c>
      <c r="AB621">
        <v>9</v>
      </c>
      <c r="AC621">
        <v>3</v>
      </c>
      <c r="AD621">
        <v>0</v>
      </c>
      <c r="AE621">
        <v>10</v>
      </c>
      <c r="AF621" t="s">
        <v>126</v>
      </c>
      <c r="AG621">
        <v>0</v>
      </c>
      <c r="AH621">
        <v>0</v>
      </c>
      <c r="AI621">
        <v>2</v>
      </c>
      <c r="AJ621">
        <v>0</v>
      </c>
      <c r="AK621" t="s">
        <v>448</v>
      </c>
      <c r="AL621">
        <v>31.927900000000001</v>
      </c>
      <c r="AM621" t="s">
        <v>449</v>
      </c>
      <c r="AN621">
        <v>-101.057739</v>
      </c>
      <c r="AQ621" t="s">
        <v>129</v>
      </c>
      <c r="AR621">
        <v>80</v>
      </c>
      <c r="AS621">
        <v>-37</v>
      </c>
      <c r="AT621">
        <v>0</v>
      </c>
      <c r="BB621" t="str">
        <f t="shared" si="72"/>
        <v>1200</v>
      </c>
      <c r="BC621">
        <v>1</v>
      </c>
      <c r="BD621" t="str">
        <f t="shared" si="74"/>
        <v xml:space="preserve">N745MB  </v>
      </c>
      <c r="BE621">
        <v>1</v>
      </c>
      <c r="BG621">
        <v>0</v>
      </c>
      <c r="BH621">
        <v>0</v>
      </c>
      <c r="BI621">
        <v>0</v>
      </c>
      <c r="BL621" t="s">
        <v>130</v>
      </c>
      <c r="BM621">
        <v>1</v>
      </c>
      <c r="BN621">
        <v>0</v>
      </c>
      <c r="BO621">
        <v>0</v>
      </c>
      <c r="BP621">
        <v>0</v>
      </c>
      <c r="BT621">
        <v>0</v>
      </c>
      <c r="BU621">
        <v>0</v>
      </c>
      <c r="CE621" t="str">
        <f>"20:23:36.538"</f>
        <v>20:23:36.538</v>
      </c>
      <c r="CF621">
        <v>537844530</v>
      </c>
      <c r="CS621">
        <v>0</v>
      </c>
      <c r="CT621">
        <v>2</v>
      </c>
      <c r="CU621">
        <v>0</v>
      </c>
      <c r="CV621">
        <v>2</v>
      </c>
      <c r="CW621">
        <v>0</v>
      </c>
      <c r="CX621">
        <v>1</v>
      </c>
      <c r="CY621">
        <v>7</v>
      </c>
      <c r="CZ621" t="s">
        <v>131</v>
      </c>
      <c r="DA621">
        <v>116</v>
      </c>
      <c r="DB621">
        <v>3</v>
      </c>
      <c r="DC621" t="s">
        <v>132</v>
      </c>
      <c r="DD621" t="s">
        <v>133</v>
      </c>
      <c r="DG621">
        <v>8336959</v>
      </c>
      <c r="DI621">
        <v>0</v>
      </c>
      <c r="DJ621">
        <v>0</v>
      </c>
      <c r="DK621">
        <v>1</v>
      </c>
      <c r="DL621">
        <v>0</v>
      </c>
      <c r="DM621">
        <v>0</v>
      </c>
      <c r="DN621">
        <v>0</v>
      </c>
      <c r="DO621">
        <v>0</v>
      </c>
      <c r="DP621">
        <v>1</v>
      </c>
      <c r="DQ621">
        <v>0</v>
      </c>
      <c r="DR621">
        <v>0</v>
      </c>
      <c r="DS621">
        <v>0</v>
      </c>
    </row>
    <row r="622" spans="1:123" x14ac:dyDescent="0.25">
      <c r="A622" t="str">
        <f>"11/29/2023 20:23:38.930"</f>
        <v>11/29/2023 20:23:38.930</v>
      </c>
      <c r="C622" t="str">
        <f t="shared" si="75"/>
        <v>FFDF53C0</v>
      </c>
      <c r="D622" t="s">
        <v>135</v>
      </c>
      <c r="E622">
        <v>31</v>
      </c>
      <c r="H622">
        <v>285</v>
      </c>
      <c r="I622" t="s">
        <v>136</v>
      </c>
      <c r="J622" t="s">
        <v>137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"20:23:38.258"</f>
        <v>20:23:38.258</v>
      </c>
      <c r="T622" t="str">
        <f>"20:23:36.658"</f>
        <v>20:23:36.658</v>
      </c>
      <c r="U622" t="str">
        <f t="shared" si="71"/>
        <v>AA0632</v>
      </c>
      <c r="V622">
        <v>0</v>
      </c>
      <c r="W622">
        <v>0</v>
      </c>
      <c r="X622">
        <v>2</v>
      </c>
      <c r="Y622">
        <v>0</v>
      </c>
      <c r="AA622">
        <v>0</v>
      </c>
      <c r="AB622">
        <v>0</v>
      </c>
      <c r="AC622">
        <v>0</v>
      </c>
      <c r="AD622">
        <v>0</v>
      </c>
      <c r="AF622" t="s">
        <v>126</v>
      </c>
      <c r="AG622">
        <v>0</v>
      </c>
      <c r="AH622">
        <v>0</v>
      </c>
      <c r="AI622">
        <v>2</v>
      </c>
      <c r="AJ622">
        <v>0</v>
      </c>
      <c r="AK622" t="s">
        <v>450</v>
      </c>
      <c r="AL622">
        <v>31.927600000000002</v>
      </c>
      <c r="AM622" t="s">
        <v>451</v>
      </c>
      <c r="AN622">
        <v>-101.05703099999999</v>
      </c>
      <c r="AQ622" t="s">
        <v>129</v>
      </c>
      <c r="AR622">
        <v>78</v>
      </c>
      <c r="AS622">
        <v>-40</v>
      </c>
      <c r="AT622">
        <v>64</v>
      </c>
      <c r="BB622" t="str">
        <f t="shared" si="72"/>
        <v>1200</v>
      </c>
      <c r="BC622">
        <v>1</v>
      </c>
      <c r="BD622" t="str">
        <f t="shared" si="74"/>
        <v xml:space="preserve">N745MB  </v>
      </c>
      <c r="BE622">
        <v>1</v>
      </c>
      <c r="BG622">
        <v>0</v>
      </c>
      <c r="BH622">
        <v>0</v>
      </c>
      <c r="BI622">
        <v>0</v>
      </c>
      <c r="BL622" t="s">
        <v>130</v>
      </c>
      <c r="BM622">
        <v>0</v>
      </c>
      <c r="BN622">
        <v>0</v>
      </c>
      <c r="BO622">
        <v>0</v>
      </c>
      <c r="BP622">
        <v>0</v>
      </c>
      <c r="BT622">
        <v>0</v>
      </c>
      <c r="BU622">
        <v>0</v>
      </c>
      <c r="CE622" t="str">
        <f>"20:23:38.264"</f>
        <v>20:23:38.264</v>
      </c>
      <c r="CF622">
        <v>263727878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1</v>
      </c>
      <c r="CY622">
        <v>7</v>
      </c>
      <c r="CZ622" t="s">
        <v>131</v>
      </c>
      <c r="DA622">
        <v>116</v>
      </c>
      <c r="DB622">
        <v>0</v>
      </c>
      <c r="DC622" t="s">
        <v>132</v>
      </c>
      <c r="DD622" t="s">
        <v>133</v>
      </c>
      <c r="DG622">
        <v>14556586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1</v>
      </c>
      <c r="DQ622">
        <v>1</v>
      </c>
      <c r="DR622">
        <v>0</v>
      </c>
      <c r="DS622">
        <v>0</v>
      </c>
    </row>
    <row r="623" spans="1:123" x14ac:dyDescent="0.25">
      <c r="A623" t="str">
        <f>"11/29/2023 20:23:38.930"</f>
        <v>11/29/2023 20:23:38.930</v>
      </c>
      <c r="C623" t="str">
        <f>"FFDF13C0"</f>
        <v>FFDF13C0</v>
      </c>
      <c r="D623" t="s">
        <v>123</v>
      </c>
      <c r="E623">
        <v>1</v>
      </c>
      <c r="F623">
        <v>1001</v>
      </c>
      <c r="G623" t="s">
        <v>134</v>
      </c>
      <c r="J623" t="s">
        <v>125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"20:23:38.258"</f>
        <v>20:23:38.258</v>
      </c>
      <c r="T623" t="str">
        <f>"20:23:36.658"</f>
        <v>20:23:36.658</v>
      </c>
      <c r="U623" t="str">
        <f t="shared" si="71"/>
        <v>AA0632</v>
      </c>
      <c r="V623">
        <v>0</v>
      </c>
      <c r="W623">
        <v>0</v>
      </c>
      <c r="X623">
        <v>2</v>
      </c>
      <c r="Y623">
        <v>0</v>
      </c>
      <c r="AA623">
        <v>0</v>
      </c>
      <c r="AB623">
        <v>0</v>
      </c>
      <c r="AC623">
        <v>0</v>
      </c>
      <c r="AD623">
        <v>0</v>
      </c>
      <c r="AF623" t="s">
        <v>126</v>
      </c>
      <c r="AG623">
        <v>0</v>
      </c>
      <c r="AH623">
        <v>0</v>
      </c>
      <c r="AI623">
        <v>2</v>
      </c>
      <c r="AJ623">
        <v>0</v>
      </c>
      <c r="AK623" t="s">
        <v>450</v>
      </c>
      <c r="AL623">
        <v>31.927600000000002</v>
      </c>
      <c r="AM623" t="s">
        <v>451</v>
      </c>
      <c r="AN623">
        <v>-101.05703099999999</v>
      </c>
      <c r="AQ623" t="s">
        <v>129</v>
      </c>
      <c r="AR623">
        <v>78</v>
      </c>
      <c r="AS623">
        <v>-40</v>
      </c>
      <c r="AT623">
        <v>64</v>
      </c>
      <c r="BB623" t="str">
        <f t="shared" si="72"/>
        <v>1200</v>
      </c>
      <c r="BC623">
        <v>1</v>
      </c>
      <c r="BD623" t="str">
        <f t="shared" si="74"/>
        <v xml:space="preserve">N745MB  </v>
      </c>
      <c r="BE623">
        <v>1</v>
      </c>
      <c r="BG623">
        <v>0</v>
      </c>
      <c r="BH623">
        <v>0</v>
      </c>
      <c r="BI623">
        <v>0</v>
      </c>
      <c r="CE623" t="str">
        <f>"20:23:38.264"</f>
        <v>20:23:38.264</v>
      </c>
      <c r="CF623">
        <v>263727878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1</v>
      </c>
      <c r="CY623">
        <v>7</v>
      </c>
      <c r="CZ623" t="s">
        <v>131</v>
      </c>
      <c r="DA623">
        <v>116</v>
      </c>
      <c r="DB623">
        <v>0</v>
      </c>
      <c r="DC623" t="s">
        <v>132</v>
      </c>
      <c r="DD623" t="s">
        <v>133</v>
      </c>
      <c r="DG623">
        <v>14556586</v>
      </c>
      <c r="DI623">
        <v>0</v>
      </c>
      <c r="DJ623">
        <v>0</v>
      </c>
      <c r="DK623">
        <v>1</v>
      </c>
      <c r="DL623">
        <v>0</v>
      </c>
      <c r="DM623">
        <v>0</v>
      </c>
      <c r="DN623">
        <v>0</v>
      </c>
      <c r="DO623">
        <v>0</v>
      </c>
      <c r="DP623">
        <v>1</v>
      </c>
      <c r="DQ623">
        <v>1</v>
      </c>
      <c r="DR623">
        <v>0</v>
      </c>
      <c r="DS623">
        <v>0</v>
      </c>
    </row>
    <row r="624" spans="1:123" x14ac:dyDescent="0.25">
      <c r="A624" t="str">
        <f>"11/29/2023 20:23:38.930"</f>
        <v>11/29/2023 20:23:38.930</v>
      </c>
      <c r="C624" t="str">
        <f>"FFDF13C0"</f>
        <v>FFDF13C0</v>
      </c>
      <c r="D624" t="s">
        <v>123</v>
      </c>
      <c r="E624">
        <v>14</v>
      </c>
      <c r="F624">
        <v>1014</v>
      </c>
      <c r="G624" t="s">
        <v>124</v>
      </c>
      <c r="J624" t="s">
        <v>125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"20:23:38.258"</f>
        <v>20:23:38.258</v>
      </c>
      <c r="T624" t="str">
        <f>"20:23:36.658"</f>
        <v>20:23:36.658</v>
      </c>
      <c r="U624" t="str">
        <f t="shared" si="71"/>
        <v>AA0632</v>
      </c>
      <c r="V624">
        <v>0</v>
      </c>
      <c r="W624">
        <v>0</v>
      </c>
      <c r="X624">
        <v>2</v>
      </c>
      <c r="Y624">
        <v>0</v>
      </c>
      <c r="AA624">
        <v>0</v>
      </c>
      <c r="AB624">
        <v>0</v>
      </c>
      <c r="AC624">
        <v>0</v>
      </c>
      <c r="AD624">
        <v>0</v>
      </c>
      <c r="AF624" t="s">
        <v>126</v>
      </c>
      <c r="AG624">
        <v>0</v>
      </c>
      <c r="AH624">
        <v>0</v>
      </c>
      <c r="AI624">
        <v>2</v>
      </c>
      <c r="AJ624">
        <v>0</v>
      </c>
      <c r="AK624" t="s">
        <v>450</v>
      </c>
      <c r="AL624">
        <v>31.927600000000002</v>
      </c>
      <c r="AM624" t="s">
        <v>451</v>
      </c>
      <c r="AN624">
        <v>-101.05703099999999</v>
      </c>
      <c r="AQ624" t="s">
        <v>129</v>
      </c>
      <c r="AR624">
        <v>78</v>
      </c>
      <c r="AS624">
        <v>-40</v>
      </c>
      <c r="AT624">
        <v>64</v>
      </c>
      <c r="BB624" t="str">
        <f t="shared" si="72"/>
        <v>1200</v>
      </c>
      <c r="BC624">
        <v>1</v>
      </c>
      <c r="BD624" t="str">
        <f t="shared" si="74"/>
        <v xml:space="preserve">N745MB  </v>
      </c>
      <c r="BE624">
        <v>1</v>
      </c>
      <c r="BG624">
        <v>0</v>
      </c>
      <c r="BH624">
        <v>0</v>
      </c>
      <c r="BI624">
        <v>0</v>
      </c>
      <c r="CE624" t="str">
        <f>"20:23:38.264"</f>
        <v>20:23:38.264</v>
      </c>
      <c r="CF624">
        <v>263727878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1</v>
      </c>
      <c r="CY624">
        <v>7</v>
      </c>
      <c r="CZ624" t="s">
        <v>131</v>
      </c>
      <c r="DA624">
        <v>116</v>
      </c>
      <c r="DB624">
        <v>0</v>
      </c>
      <c r="DC624" t="s">
        <v>132</v>
      </c>
      <c r="DD624" t="s">
        <v>133</v>
      </c>
      <c r="DG624">
        <v>14556586</v>
      </c>
      <c r="DI624">
        <v>0</v>
      </c>
      <c r="DJ624">
        <v>0</v>
      </c>
      <c r="DK624">
        <v>1</v>
      </c>
      <c r="DL624">
        <v>0</v>
      </c>
      <c r="DM624">
        <v>0</v>
      </c>
      <c r="DN624">
        <v>0</v>
      </c>
      <c r="DO624">
        <v>0</v>
      </c>
      <c r="DP624">
        <v>1</v>
      </c>
      <c r="DQ624">
        <v>1</v>
      </c>
      <c r="DR624">
        <v>0</v>
      </c>
      <c r="DS624">
        <v>0</v>
      </c>
    </row>
    <row r="625" spans="1:123" x14ac:dyDescent="0.25">
      <c r="A625" t="str">
        <f>"11/29/2023 20:23:38.930"</f>
        <v>11/29/2023 20:23:38.930</v>
      </c>
      <c r="C625" t="str">
        <f>"FFDF53C0"</f>
        <v>FFDF53C0</v>
      </c>
      <c r="D625" t="s">
        <v>138</v>
      </c>
      <c r="E625">
        <v>3</v>
      </c>
      <c r="H625">
        <v>160</v>
      </c>
      <c r="I625" t="s">
        <v>124</v>
      </c>
      <c r="J625" t="s">
        <v>139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"20:23:38.258"</f>
        <v>20:23:38.258</v>
      </c>
      <c r="T625" t="str">
        <f>"20:23:36.658"</f>
        <v>20:23:36.658</v>
      </c>
      <c r="U625" t="str">
        <f t="shared" si="71"/>
        <v>AA0632</v>
      </c>
      <c r="V625">
        <v>0</v>
      </c>
      <c r="W625">
        <v>0</v>
      </c>
      <c r="X625">
        <v>2</v>
      </c>
      <c r="Y625">
        <v>0</v>
      </c>
      <c r="AA625">
        <v>0</v>
      </c>
      <c r="AB625">
        <v>0</v>
      </c>
      <c r="AC625">
        <v>0</v>
      </c>
      <c r="AD625">
        <v>0</v>
      </c>
      <c r="AF625" t="s">
        <v>126</v>
      </c>
      <c r="AG625">
        <v>0</v>
      </c>
      <c r="AH625">
        <v>0</v>
      </c>
      <c r="AI625">
        <v>2</v>
      </c>
      <c r="AJ625">
        <v>0</v>
      </c>
      <c r="AK625" t="s">
        <v>450</v>
      </c>
      <c r="AL625">
        <v>31.927600000000002</v>
      </c>
      <c r="AM625" t="s">
        <v>451</v>
      </c>
      <c r="AN625">
        <v>-101.05703099999999</v>
      </c>
      <c r="AQ625" t="s">
        <v>129</v>
      </c>
      <c r="AR625">
        <v>78</v>
      </c>
      <c r="AS625">
        <v>-40</v>
      </c>
      <c r="AT625">
        <v>64</v>
      </c>
      <c r="BB625" t="str">
        <f t="shared" si="72"/>
        <v>1200</v>
      </c>
      <c r="BC625">
        <v>1</v>
      </c>
      <c r="BD625" t="str">
        <f t="shared" si="74"/>
        <v xml:space="preserve">N745MB  </v>
      </c>
      <c r="BE625">
        <v>1</v>
      </c>
      <c r="BG625">
        <v>0</v>
      </c>
      <c r="BH625">
        <v>0</v>
      </c>
      <c r="BI625">
        <v>0</v>
      </c>
      <c r="BL625" t="s">
        <v>130</v>
      </c>
      <c r="BM625">
        <v>0</v>
      </c>
      <c r="BN625">
        <v>0</v>
      </c>
      <c r="BO625">
        <v>0</v>
      </c>
      <c r="BP625">
        <v>0</v>
      </c>
      <c r="BT625">
        <v>0</v>
      </c>
      <c r="BU625">
        <v>0</v>
      </c>
      <c r="CE625" t="str">
        <f>"20:23:38.264"</f>
        <v>20:23:38.264</v>
      </c>
      <c r="CF625">
        <v>263727878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1</v>
      </c>
      <c r="CY625">
        <v>7</v>
      </c>
      <c r="CZ625" t="s">
        <v>131</v>
      </c>
      <c r="DA625">
        <v>116</v>
      </c>
      <c r="DB625">
        <v>0</v>
      </c>
      <c r="DC625" t="s">
        <v>132</v>
      </c>
      <c r="DD625" t="s">
        <v>133</v>
      </c>
      <c r="DG625">
        <v>14556586</v>
      </c>
      <c r="DI625">
        <v>0</v>
      </c>
      <c r="DJ625">
        <v>0</v>
      </c>
      <c r="DK625">
        <v>1</v>
      </c>
      <c r="DL625">
        <v>0</v>
      </c>
      <c r="DM625">
        <v>0</v>
      </c>
      <c r="DN625">
        <v>0</v>
      </c>
      <c r="DO625">
        <v>0</v>
      </c>
      <c r="DP625">
        <v>1</v>
      </c>
      <c r="DQ625">
        <v>1</v>
      </c>
      <c r="DR625">
        <v>0</v>
      </c>
      <c r="DS625">
        <v>0</v>
      </c>
    </row>
    <row r="626" spans="1:123" x14ac:dyDescent="0.25">
      <c r="A626" t="str">
        <f>"11/29/2023 20:23:39.899"</f>
        <v>11/29/2023 20:23:39.899</v>
      </c>
      <c r="C626" t="str">
        <f>"FFDF13C0"</f>
        <v>FFDF13C0</v>
      </c>
      <c r="D626" t="s">
        <v>123</v>
      </c>
      <c r="E626">
        <v>14</v>
      </c>
      <c r="F626">
        <v>1014</v>
      </c>
      <c r="G626" t="s">
        <v>124</v>
      </c>
      <c r="J626" t="s">
        <v>125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"20:23:39.250"</f>
        <v>20:23:39.250</v>
      </c>
      <c r="T626" t="str">
        <f>"20:23:38.850"</f>
        <v>20:23:38.850</v>
      </c>
      <c r="U626" t="str">
        <f t="shared" si="71"/>
        <v>AA0632</v>
      </c>
      <c r="V626">
        <v>0</v>
      </c>
      <c r="W626">
        <v>0</v>
      </c>
      <c r="X626">
        <v>2</v>
      </c>
      <c r="Y626">
        <v>0</v>
      </c>
      <c r="AA626">
        <v>0</v>
      </c>
      <c r="AB626">
        <v>0</v>
      </c>
      <c r="AC626">
        <v>0</v>
      </c>
      <c r="AD626">
        <v>0</v>
      </c>
      <c r="AF626" t="s">
        <v>126</v>
      </c>
      <c r="AG626">
        <v>0</v>
      </c>
      <c r="AH626">
        <v>0</v>
      </c>
      <c r="AI626">
        <v>2</v>
      </c>
      <c r="AJ626">
        <v>0</v>
      </c>
      <c r="AK626" t="s">
        <v>452</v>
      </c>
      <c r="AL626">
        <v>31.927406999999999</v>
      </c>
      <c r="AM626" t="s">
        <v>453</v>
      </c>
      <c r="AN626">
        <v>-101.05658099999999</v>
      </c>
      <c r="AQ626" t="s">
        <v>129</v>
      </c>
      <c r="AR626">
        <v>78</v>
      </c>
      <c r="AS626">
        <v>-39</v>
      </c>
      <c r="AT626">
        <v>-64</v>
      </c>
      <c r="BB626" t="str">
        <f t="shared" si="72"/>
        <v>1200</v>
      </c>
      <c r="BC626">
        <v>1</v>
      </c>
      <c r="BD626" t="str">
        <f t="shared" si="74"/>
        <v xml:space="preserve">N745MB  </v>
      </c>
      <c r="BE626">
        <v>1</v>
      </c>
      <c r="BG626">
        <v>0</v>
      </c>
      <c r="BH626">
        <v>0</v>
      </c>
      <c r="BI626">
        <v>0</v>
      </c>
      <c r="CE626" t="str">
        <f>"20:23:39.254"</f>
        <v>20:23:39.254</v>
      </c>
      <c r="CF626">
        <v>253661122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1</v>
      </c>
      <c r="CY626">
        <v>7</v>
      </c>
      <c r="CZ626" t="s">
        <v>131</v>
      </c>
      <c r="DA626">
        <v>116</v>
      </c>
      <c r="DB626">
        <v>0</v>
      </c>
      <c r="DC626" t="s">
        <v>132</v>
      </c>
      <c r="DD626" t="s">
        <v>133</v>
      </c>
      <c r="DG626">
        <v>14557475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1</v>
      </c>
      <c r="DQ626">
        <v>1</v>
      </c>
      <c r="DR626">
        <v>0</v>
      </c>
      <c r="DS626">
        <v>0</v>
      </c>
    </row>
    <row r="627" spans="1:123" x14ac:dyDescent="0.25">
      <c r="A627" t="str">
        <f>"11/29/2023 20:23:39.899"</f>
        <v>11/29/2023 20:23:39.899</v>
      </c>
      <c r="C627" t="str">
        <f>"FFDF53C0"</f>
        <v>FFDF53C0</v>
      </c>
      <c r="D627" t="s">
        <v>138</v>
      </c>
      <c r="E627">
        <v>3</v>
      </c>
      <c r="H627">
        <v>160</v>
      </c>
      <c r="I627" t="s">
        <v>124</v>
      </c>
      <c r="J627" t="s">
        <v>139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"20:23:39.250"</f>
        <v>20:23:39.250</v>
      </c>
      <c r="T627" t="str">
        <f>"20:23:38.850"</f>
        <v>20:23:38.850</v>
      </c>
      <c r="U627" t="str">
        <f t="shared" si="71"/>
        <v>AA0632</v>
      </c>
      <c r="V627">
        <v>0</v>
      </c>
      <c r="W627">
        <v>0</v>
      </c>
      <c r="X627">
        <v>2</v>
      </c>
      <c r="Y627">
        <v>0</v>
      </c>
      <c r="AA627">
        <v>0</v>
      </c>
      <c r="AB627">
        <v>0</v>
      </c>
      <c r="AC627">
        <v>0</v>
      </c>
      <c r="AD627">
        <v>0</v>
      </c>
      <c r="AF627" t="s">
        <v>126</v>
      </c>
      <c r="AG627">
        <v>0</v>
      </c>
      <c r="AH627">
        <v>0</v>
      </c>
      <c r="AI627">
        <v>2</v>
      </c>
      <c r="AJ627">
        <v>0</v>
      </c>
      <c r="AK627" t="s">
        <v>452</v>
      </c>
      <c r="AL627">
        <v>31.927406999999999</v>
      </c>
      <c r="AM627" t="s">
        <v>453</v>
      </c>
      <c r="AN627">
        <v>-101.05658099999999</v>
      </c>
      <c r="AQ627" t="s">
        <v>129</v>
      </c>
      <c r="AR627">
        <v>78</v>
      </c>
      <c r="AS627">
        <v>-39</v>
      </c>
      <c r="AT627">
        <v>-64</v>
      </c>
      <c r="BB627" t="str">
        <f t="shared" si="72"/>
        <v>1200</v>
      </c>
      <c r="BC627">
        <v>1</v>
      </c>
      <c r="BD627" t="str">
        <f t="shared" si="74"/>
        <v xml:space="preserve">N745MB  </v>
      </c>
      <c r="BE627">
        <v>1</v>
      </c>
      <c r="BG627">
        <v>0</v>
      </c>
      <c r="BH627">
        <v>0</v>
      </c>
      <c r="BI627">
        <v>0</v>
      </c>
      <c r="BL627" t="s">
        <v>130</v>
      </c>
      <c r="BM627">
        <v>0</v>
      </c>
      <c r="BN627">
        <v>0</v>
      </c>
      <c r="BO627">
        <v>0</v>
      </c>
      <c r="BP627">
        <v>0</v>
      </c>
      <c r="BT627">
        <v>0</v>
      </c>
      <c r="BU627">
        <v>0</v>
      </c>
      <c r="CE627" t="str">
        <f>"20:23:39.254"</f>
        <v>20:23:39.254</v>
      </c>
      <c r="CF627">
        <v>253661122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1</v>
      </c>
      <c r="CY627">
        <v>7</v>
      </c>
      <c r="CZ627" t="s">
        <v>131</v>
      </c>
      <c r="DA627">
        <v>116</v>
      </c>
      <c r="DB627">
        <v>0</v>
      </c>
      <c r="DC627" t="s">
        <v>132</v>
      </c>
      <c r="DD627" t="s">
        <v>133</v>
      </c>
      <c r="DG627">
        <v>14557475</v>
      </c>
      <c r="DI627">
        <v>0</v>
      </c>
      <c r="DJ627">
        <v>0</v>
      </c>
      <c r="DK627">
        <v>1</v>
      </c>
      <c r="DL627">
        <v>0</v>
      </c>
      <c r="DM627">
        <v>0</v>
      </c>
      <c r="DN627">
        <v>0</v>
      </c>
      <c r="DO627">
        <v>0</v>
      </c>
      <c r="DP627">
        <v>1</v>
      </c>
      <c r="DQ627">
        <v>1</v>
      </c>
      <c r="DR627">
        <v>0</v>
      </c>
      <c r="DS627">
        <v>0</v>
      </c>
    </row>
    <row r="628" spans="1:123" x14ac:dyDescent="0.25">
      <c r="A628" t="str">
        <f>"11/29/2023 20:23:39.899"</f>
        <v>11/29/2023 20:23:39.899</v>
      </c>
      <c r="C628" t="str">
        <f>"FFDF13C0"</f>
        <v>FFDF13C0</v>
      </c>
      <c r="D628" t="s">
        <v>123</v>
      </c>
      <c r="E628">
        <v>1</v>
      </c>
      <c r="F628">
        <v>1001</v>
      </c>
      <c r="G628" t="s">
        <v>134</v>
      </c>
      <c r="J628" t="s">
        <v>125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"20:23:39.250"</f>
        <v>20:23:39.250</v>
      </c>
      <c r="T628" t="str">
        <f>"20:23:38.850"</f>
        <v>20:23:38.850</v>
      </c>
      <c r="U628" t="str">
        <f t="shared" si="71"/>
        <v>AA0632</v>
      </c>
      <c r="V628">
        <v>0</v>
      </c>
      <c r="W628">
        <v>0</v>
      </c>
      <c r="X628">
        <v>2</v>
      </c>
      <c r="Y628">
        <v>0</v>
      </c>
      <c r="AA628">
        <v>0</v>
      </c>
      <c r="AB628">
        <v>0</v>
      </c>
      <c r="AC628">
        <v>0</v>
      </c>
      <c r="AD628">
        <v>0</v>
      </c>
      <c r="AF628" t="s">
        <v>126</v>
      </c>
      <c r="AG628">
        <v>0</v>
      </c>
      <c r="AH628">
        <v>0</v>
      </c>
      <c r="AI628">
        <v>2</v>
      </c>
      <c r="AJ628">
        <v>0</v>
      </c>
      <c r="AK628" t="s">
        <v>452</v>
      </c>
      <c r="AL628">
        <v>31.927406999999999</v>
      </c>
      <c r="AM628" t="s">
        <v>453</v>
      </c>
      <c r="AN628">
        <v>-101.05658099999999</v>
      </c>
      <c r="AQ628" t="s">
        <v>129</v>
      </c>
      <c r="AR628">
        <v>78</v>
      </c>
      <c r="AS628">
        <v>-39</v>
      </c>
      <c r="AT628">
        <v>-64</v>
      </c>
      <c r="BB628" t="str">
        <f t="shared" si="72"/>
        <v>1200</v>
      </c>
      <c r="BC628">
        <v>1</v>
      </c>
      <c r="BD628" t="str">
        <f t="shared" si="74"/>
        <v xml:space="preserve">N745MB  </v>
      </c>
      <c r="BE628">
        <v>1</v>
      </c>
      <c r="BG628">
        <v>0</v>
      </c>
      <c r="BH628">
        <v>0</v>
      </c>
      <c r="BI628">
        <v>0</v>
      </c>
      <c r="CE628" t="str">
        <f>"20:23:39.254"</f>
        <v>20:23:39.254</v>
      </c>
      <c r="CF628">
        <v>253661122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1</v>
      </c>
      <c r="CY628">
        <v>7</v>
      </c>
      <c r="CZ628" t="s">
        <v>131</v>
      </c>
      <c r="DA628">
        <v>116</v>
      </c>
      <c r="DB628">
        <v>0</v>
      </c>
      <c r="DC628" t="s">
        <v>132</v>
      </c>
      <c r="DD628" t="s">
        <v>133</v>
      </c>
      <c r="DG628">
        <v>14557475</v>
      </c>
      <c r="DI628">
        <v>0</v>
      </c>
      <c r="DJ628">
        <v>0</v>
      </c>
      <c r="DK628">
        <v>1</v>
      </c>
      <c r="DL628">
        <v>0</v>
      </c>
      <c r="DM628">
        <v>0</v>
      </c>
      <c r="DN628">
        <v>0</v>
      </c>
      <c r="DO628">
        <v>0</v>
      </c>
      <c r="DP628">
        <v>1</v>
      </c>
      <c r="DQ628">
        <v>1</v>
      </c>
      <c r="DR628">
        <v>0</v>
      </c>
      <c r="DS628">
        <v>0</v>
      </c>
    </row>
    <row r="629" spans="1:123" x14ac:dyDescent="0.25">
      <c r="A629" t="str">
        <f>"11/29/2023 20:23:39.899"</f>
        <v>11/29/2023 20:23:39.899</v>
      </c>
      <c r="C629" t="str">
        <f t="shared" ref="C629:C660" si="76">"FFDF53C0"</f>
        <v>FFDF53C0</v>
      </c>
      <c r="D629" t="s">
        <v>135</v>
      </c>
      <c r="E629">
        <v>31</v>
      </c>
      <c r="H629">
        <v>285</v>
      </c>
      <c r="I629" t="s">
        <v>136</v>
      </c>
      <c r="J629" t="s">
        <v>137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"20:23:39.250"</f>
        <v>20:23:39.250</v>
      </c>
      <c r="T629" t="str">
        <f>"20:23:38.850"</f>
        <v>20:23:38.850</v>
      </c>
      <c r="U629" t="str">
        <f t="shared" si="71"/>
        <v>AA0632</v>
      </c>
      <c r="V629">
        <v>0</v>
      </c>
      <c r="W629">
        <v>0</v>
      </c>
      <c r="X629">
        <v>2</v>
      </c>
      <c r="Y629">
        <v>0</v>
      </c>
      <c r="AA629">
        <v>0</v>
      </c>
      <c r="AB629">
        <v>0</v>
      </c>
      <c r="AC629">
        <v>0</v>
      </c>
      <c r="AD629">
        <v>0</v>
      </c>
      <c r="AF629" t="s">
        <v>126</v>
      </c>
      <c r="AG629">
        <v>0</v>
      </c>
      <c r="AH629">
        <v>0</v>
      </c>
      <c r="AI629">
        <v>2</v>
      </c>
      <c r="AJ629">
        <v>0</v>
      </c>
      <c r="AK629" t="s">
        <v>452</v>
      </c>
      <c r="AL629">
        <v>31.927406999999999</v>
      </c>
      <c r="AM629" t="s">
        <v>453</v>
      </c>
      <c r="AN629">
        <v>-101.05658099999999</v>
      </c>
      <c r="AQ629" t="s">
        <v>129</v>
      </c>
      <c r="AR629">
        <v>78</v>
      </c>
      <c r="AS629">
        <v>-39</v>
      </c>
      <c r="AT629">
        <v>-64</v>
      </c>
      <c r="BB629" t="str">
        <f t="shared" si="72"/>
        <v>1200</v>
      </c>
      <c r="BC629">
        <v>1</v>
      </c>
      <c r="BD629" t="str">
        <f t="shared" si="74"/>
        <v xml:space="preserve">N745MB  </v>
      </c>
      <c r="BE629">
        <v>1</v>
      </c>
      <c r="BG629">
        <v>0</v>
      </c>
      <c r="BH629">
        <v>0</v>
      </c>
      <c r="BI629">
        <v>0</v>
      </c>
      <c r="BL629" t="s">
        <v>130</v>
      </c>
      <c r="BM629">
        <v>0</v>
      </c>
      <c r="BN629">
        <v>0</v>
      </c>
      <c r="BO629">
        <v>0</v>
      </c>
      <c r="BP629">
        <v>0</v>
      </c>
      <c r="BT629">
        <v>0</v>
      </c>
      <c r="BU629">
        <v>0</v>
      </c>
      <c r="CE629" t="str">
        <f>"20:23:39.254"</f>
        <v>20:23:39.254</v>
      </c>
      <c r="CF629">
        <v>253661122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1</v>
      </c>
      <c r="CY629">
        <v>7</v>
      </c>
      <c r="CZ629" t="s">
        <v>131</v>
      </c>
      <c r="DA629">
        <v>116</v>
      </c>
      <c r="DB629">
        <v>0</v>
      </c>
      <c r="DC629" t="s">
        <v>132</v>
      </c>
      <c r="DD629" t="s">
        <v>133</v>
      </c>
      <c r="DG629">
        <v>14557475</v>
      </c>
      <c r="DI629">
        <v>0</v>
      </c>
      <c r="DJ629">
        <v>0</v>
      </c>
      <c r="DK629">
        <v>1</v>
      </c>
      <c r="DL629">
        <v>0</v>
      </c>
      <c r="DM629">
        <v>0</v>
      </c>
      <c r="DN629">
        <v>0</v>
      </c>
      <c r="DO629">
        <v>0</v>
      </c>
      <c r="DP629">
        <v>1</v>
      </c>
      <c r="DQ629">
        <v>1</v>
      </c>
      <c r="DR629">
        <v>0</v>
      </c>
      <c r="DS629">
        <v>0</v>
      </c>
    </row>
    <row r="630" spans="1:123" x14ac:dyDescent="0.25">
      <c r="A630" t="str">
        <f>"11/29/2023 20:23:40.961"</f>
        <v>11/29/2023 20:23:40.961</v>
      </c>
      <c r="C630" t="str">
        <f t="shared" si="76"/>
        <v>FFDF53C0</v>
      </c>
      <c r="D630" t="s">
        <v>135</v>
      </c>
      <c r="E630">
        <v>31</v>
      </c>
      <c r="H630">
        <v>285</v>
      </c>
      <c r="I630" t="s">
        <v>136</v>
      </c>
      <c r="J630" t="s">
        <v>137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"20:23:40.313"</f>
        <v>20:23:40.313</v>
      </c>
      <c r="T630" t="str">
        <f>"20:23:39.913"</f>
        <v>20:23:39.913</v>
      </c>
      <c r="U630" t="str">
        <f t="shared" si="71"/>
        <v>AA0632</v>
      </c>
      <c r="V630">
        <v>0</v>
      </c>
      <c r="W630">
        <v>0</v>
      </c>
      <c r="X630">
        <v>2</v>
      </c>
      <c r="Y630">
        <v>0</v>
      </c>
      <c r="AA630">
        <v>0</v>
      </c>
      <c r="AB630">
        <v>9</v>
      </c>
      <c r="AC630">
        <v>3</v>
      </c>
      <c r="AD630">
        <v>0</v>
      </c>
      <c r="AE630">
        <v>10</v>
      </c>
      <c r="AF630" t="s">
        <v>126</v>
      </c>
      <c r="AG630">
        <v>0</v>
      </c>
      <c r="AH630">
        <v>0</v>
      </c>
      <c r="AI630">
        <v>2</v>
      </c>
      <c r="AJ630">
        <v>0</v>
      </c>
      <c r="AK630" t="s">
        <v>454</v>
      </c>
      <c r="AL630">
        <v>31.927192000000002</v>
      </c>
      <c r="AM630" t="s">
        <v>455</v>
      </c>
      <c r="AN630">
        <v>-101.05610799999999</v>
      </c>
      <c r="AQ630" t="s">
        <v>129</v>
      </c>
      <c r="AR630">
        <v>79</v>
      </c>
      <c r="AS630">
        <v>-39</v>
      </c>
      <c r="AT630">
        <v>64</v>
      </c>
      <c r="BB630" t="str">
        <f t="shared" si="72"/>
        <v>1200</v>
      </c>
      <c r="BC630">
        <v>1</v>
      </c>
      <c r="BD630" t="str">
        <f t="shared" si="74"/>
        <v xml:space="preserve">N745MB  </v>
      </c>
      <c r="BE630">
        <v>1</v>
      </c>
      <c r="BG630">
        <v>0</v>
      </c>
      <c r="BH630">
        <v>0</v>
      </c>
      <c r="BI630">
        <v>0</v>
      </c>
      <c r="BL630" t="s">
        <v>130</v>
      </c>
      <c r="BM630">
        <v>1</v>
      </c>
      <c r="BN630">
        <v>0</v>
      </c>
      <c r="BO630">
        <v>0</v>
      </c>
      <c r="BP630">
        <v>0</v>
      </c>
      <c r="BT630">
        <v>0</v>
      </c>
      <c r="BU630">
        <v>0</v>
      </c>
      <c r="CE630" t="str">
        <f>"20:23:40.320"</f>
        <v>20:23:40.320</v>
      </c>
      <c r="CF630">
        <v>319589280</v>
      </c>
      <c r="CS630">
        <v>0</v>
      </c>
      <c r="CT630">
        <v>2</v>
      </c>
      <c r="CU630">
        <v>0</v>
      </c>
      <c r="CV630">
        <v>2</v>
      </c>
      <c r="CW630">
        <v>0</v>
      </c>
      <c r="CX630">
        <v>1</v>
      </c>
      <c r="CY630">
        <v>7</v>
      </c>
      <c r="CZ630" t="s">
        <v>131</v>
      </c>
      <c r="DA630">
        <v>116</v>
      </c>
      <c r="DB630">
        <v>3</v>
      </c>
      <c r="DC630" t="s">
        <v>132</v>
      </c>
      <c r="DD630" t="s">
        <v>133</v>
      </c>
      <c r="DG630">
        <v>8339107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1</v>
      </c>
      <c r="DQ630">
        <v>0</v>
      </c>
      <c r="DR630">
        <v>0</v>
      </c>
      <c r="DS630">
        <v>0</v>
      </c>
    </row>
    <row r="631" spans="1:123" x14ac:dyDescent="0.25">
      <c r="A631" t="str">
        <f>"11/29/2023 20:23:40.961"</f>
        <v>11/29/2023 20:23:40.961</v>
      </c>
      <c r="C631" t="str">
        <f t="shared" si="76"/>
        <v>FFDF53C0</v>
      </c>
      <c r="D631" t="s">
        <v>123</v>
      </c>
      <c r="E631">
        <v>1</v>
      </c>
      <c r="F631">
        <v>1001</v>
      </c>
      <c r="G631" t="s">
        <v>134</v>
      </c>
      <c r="J631" t="s">
        <v>125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"20:23:40.313"</f>
        <v>20:23:40.313</v>
      </c>
      <c r="T631" t="str">
        <f>"20:23:39.913"</f>
        <v>20:23:39.913</v>
      </c>
      <c r="U631" t="str">
        <f t="shared" si="71"/>
        <v>AA0632</v>
      </c>
      <c r="V631">
        <v>0</v>
      </c>
      <c r="W631">
        <v>0</v>
      </c>
      <c r="X631">
        <v>2</v>
      </c>
      <c r="Y631">
        <v>0</v>
      </c>
      <c r="AA631">
        <v>0</v>
      </c>
      <c r="AB631">
        <v>9</v>
      </c>
      <c r="AC631">
        <v>3</v>
      </c>
      <c r="AD631">
        <v>0</v>
      </c>
      <c r="AE631">
        <v>10</v>
      </c>
      <c r="AF631" t="s">
        <v>126</v>
      </c>
      <c r="AG631">
        <v>0</v>
      </c>
      <c r="AH631">
        <v>0</v>
      </c>
      <c r="AI631">
        <v>2</v>
      </c>
      <c r="AJ631">
        <v>0</v>
      </c>
      <c r="AK631" t="s">
        <v>454</v>
      </c>
      <c r="AL631">
        <v>31.927192000000002</v>
      </c>
      <c r="AM631" t="s">
        <v>455</v>
      </c>
      <c r="AN631">
        <v>-101.05610799999999</v>
      </c>
      <c r="AQ631" t="s">
        <v>129</v>
      </c>
      <c r="AR631">
        <v>79</v>
      </c>
      <c r="AS631">
        <v>-39</v>
      </c>
      <c r="AT631">
        <v>64</v>
      </c>
      <c r="BB631" t="str">
        <f t="shared" si="72"/>
        <v>1200</v>
      </c>
      <c r="BC631">
        <v>1</v>
      </c>
      <c r="BD631" t="str">
        <f t="shared" si="74"/>
        <v xml:space="preserve">N745MB  </v>
      </c>
      <c r="BE631">
        <v>1</v>
      </c>
      <c r="BG631">
        <v>0</v>
      </c>
      <c r="BH631">
        <v>0</v>
      </c>
      <c r="BI631">
        <v>0</v>
      </c>
      <c r="BL631" t="s">
        <v>130</v>
      </c>
      <c r="BM631">
        <v>1</v>
      </c>
      <c r="BN631">
        <v>0</v>
      </c>
      <c r="BO631">
        <v>0</v>
      </c>
      <c r="BP631">
        <v>0</v>
      </c>
      <c r="BT631">
        <v>0</v>
      </c>
      <c r="BU631">
        <v>0</v>
      </c>
      <c r="CE631" t="str">
        <f>"20:23:40.320"</f>
        <v>20:23:40.320</v>
      </c>
      <c r="CF631">
        <v>319589280</v>
      </c>
      <c r="CS631">
        <v>0</v>
      </c>
      <c r="CT631">
        <v>2</v>
      </c>
      <c r="CU631">
        <v>0</v>
      </c>
      <c r="CV631">
        <v>2</v>
      </c>
      <c r="CW631">
        <v>0</v>
      </c>
      <c r="CX631">
        <v>1</v>
      </c>
      <c r="CY631">
        <v>7</v>
      </c>
      <c r="CZ631" t="s">
        <v>131</v>
      </c>
      <c r="DA631">
        <v>116</v>
      </c>
      <c r="DB631">
        <v>3</v>
      </c>
      <c r="DC631" t="s">
        <v>132</v>
      </c>
      <c r="DD631" t="s">
        <v>133</v>
      </c>
      <c r="DG631">
        <v>8339107</v>
      </c>
      <c r="DI631">
        <v>0</v>
      </c>
      <c r="DJ631">
        <v>0</v>
      </c>
      <c r="DK631">
        <v>1</v>
      </c>
      <c r="DL631">
        <v>0</v>
      </c>
      <c r="DM631">
        <v>0</v>
      </c>
      <c r="DN631">
        <v>0</v>
      </c>
      <c r="DO631">
        <v>0</v>
      </c>
      <c r="DP631">
        <v>1</v>
      </c>
      <c r="DQ631">
        <v>0</v>
      </c>
      <c r="DR631">
        <v>0</v>
      </c>
      <c r="DS631">
        <v>0</v>
      </c>
    </row>
    <row r="632" spans="1:123" x14ac:dyDescent="0.25">
      <c r="A632" t="str">
        <f>"11/29/2023 20:23:40.961"</f>
        <v>11/29/2023 20:23:40.961</v>
      </c>
      <c r="C632" t="str">
        <f t="shared" si="76"/>
        <v>FFDF53C0</v>
      </c>
      <c r="D632" t="s">
        <v>123</v>
      </c>
      <c r="E632">
        <v>14</v>
      </c>
      <c r="F632">
        <v>1014</v>
      </c>
      <c r="G632" t="s">
        <v>124</v>
      </c>
      <c r="J632" t="s">
        <v>125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"20:23:40.313"</f>
        <v>20:23:40.313</v>
      </c>
      <c r="T632" t="str">
        <f>"20:23:39.913"</f>
        <v>20:23:39.913</v>
      </c>
      <c r="U632" t="str">
        <f t="shared" si="71"/>
        <v>AA0632</v>
      </c>
      <c r="V632">
        <v>0</v>
      </c>
      <c r="W632">
        <v>0</v>
      </c>
      <c r="X632">
        <v>2</v>
      </c>
      <c r="Y632">
        <v>0</v>
      </c>
      <c r="AA632">
        <v>0</v>
      </c>
      <c r="AB632">
        <v>9</v>
      </c>
      <c r="AC632">
        <v>3</v>
      </c>
      <c r="AD632">
        <v>0</v>
      </c>
      <c r="AE632">
        <v>10</v>
      </c>
      <c r="AF632" t="s">
        <v>126</v>
      </c>
      <c r="AG632">
        <v>0</v>
      </c>
      <c r="AH632">
        <v>0</v>
      </c>
      <c r="AI632">
        <v>2</v>
      </c>
      <c r="AJ632">
        <v>0</v>
      </c>
      <c r="AK632" t="s">
        <v>454</v>
      </c>
      <c r="AL632">
        <v>31.927192000000002</v>
      </c>
      <c r="AM632" t="s">
        <v>455</v>
      </c>
      <c r="AN632">
        <v>-101.05610799999999</v>
      </c>
      <c r="AQ632" t="s">
        <v>129</v>
      </c>
      <c r="AR632">
        <v>79</v>
      </c>
      <c r="AS632">
        <v>-39</v>
      </c>
      <c r="AT632">
        <v>64</v>
      </c>
      <c r="BB632" t="str">
        <f t="shared" si="72"/>
        <v>1200</v>
      </c>
      <c r="BC632">
        <v>1</v>
      </c>
      <c r="BD632" t="str">
        <f t="shared" si="74"/>
        <v xml:space="preserve">N745MB  </v>
      </c>
      <c r="BE632">
        <v>1</v>
      </c>
      <c r="BG632">
        <v>0</v>
      </c>
      <c r="BH632">
        <v>0</v>
      </c>
      <c r="BI632">
        <v>0</v>
      </c>
      <c r="BL632" t="s">
        <v>130</v>
      </c>
      <c r="BM632">
        <v>1</v>
      </c>
      <c r="BN632">
        <v>0</v>
      </c>
      <c r="BO632">
        <v>0</v>
      </c>
      <c r="BP632">
        <v>0</v>
      </c>
      <c r="BT632">
        <v>0</v>
      </c>
      <c r="BU632">
        <v>0</v>
      </c>
      <c r="CE632" t="str">
        <f>"20:23:40.320"</f>
        <v>20:23:40.320</v>
      </c>
      <c r="CF632">
        <v>319589280</v>
      </c>
      <c r="CS632">
        <v>0</v>
      </c>
      <c r="CT632">
        <v>2</v>
      </c>
      <c r="CU632">
        <v>0</v>
      </c>
      <c r="CV632">
        <v>2</v>
      </c>
      <c r="CW632">
        <v>0</v>
      </c>
      <c r="CX632">
        <v>1</v>
      </c>
      <c r="CY632">
        <v>7</v>
      </c>
      <c r="CZ632" t="s">
        <v>131</v>
      </c>
      <c r="DA632">
        <v>116</v>
      </c>
      <c r="DB632">
        <v>3</v>
      </c>
      <c r="DC632" t="s">
        <v>132</v>
      </c>
      <c r="DD632" t="s">
        <v>133</v>
      </c>
      <c r="DG632">
        <v>8339107</v>
      </c>
      <c r="DI632">
        <v>0</v>
      </c>
      <c r="DJ632">
        <v>0</v>
      </c>
      <c r="DK632">
        <v>1</v>
      </c>
      <c r="DL632">
        <v>0</v>
      </c>
      <c r="DM632">
        <v>0</v>
      </c>
      <c r="DN632">
        <v>0</v>
      </c>
      <c r="DO632">
        <v>0</v>
      </c>
      <c r="DP632">
        <v>1</v>
      </c>
      <c r="DQ632">
        <v>0</v>
      </c>
      <c r="DR632">
        <v>0</v>
      </c>
      <c r="DS632">
        <v>0</v>
      </c>
    </row>
    <row r="633" spans="1:123" x14ac:dyDescent="0.25">
      <c r="A633" t="str">
        <f>"11/29/2023 20:23:40.961"</f>
        <v>11/29/2023 20:23:40.961</v>
      </c>
      <c r="C633" t="str">
        <f t="shared" si="76"/>
        <v>FFDF53C0</v>
      </c>
      <c r="D633" t="s">
        <v>138</v>
      </c>
      <c r="E633">
        <v>3</v>
      </c>
      <c r="H633">
        <v>160</v>
      </c>
      <c r="I633" t="s">
        <v>124</v>
      </c>
      <c r="J633" t="s">
        <v>139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"20:23:40.313"</f>
        <v>20:23:40.313</v>
      </c>
      <c r="T633" t="str">
        <f>"20:23:39.913"</f>
        <v>20:23:39.913</v>
      </c>
      <c r="U633" t="str">
        <f t="shared" si="71"/>
        <v>AA0632</v>
      </c>
      <c r="V633">
        <v>0</v>
      </c>
      <c r="W633">
        <v>0</v>
      </c>
      <c r="X633">
        <v>2</v>
      </c>
      <c r="Y633">
        <v>0</v>
      </c>
      <c r="AA633">
        <v>0</v>
      </c>
      <c r="AB633">
        <v>9</v>
      </c>
      <c r="AC633">
        <v>3</v>
      </c>
      <c r="AD633">
        <v>0</v>
      </c>
      <c r="AE633">
        <v>10</v>
      </c>
      <c r="AF633" t="s">
        <v>126</v>
      </c>
      <c r="AG633">
        <v>0</v>
      </c>
      <c r="AH633">
        <v>0</v>
      </c>
      <c r="AI633">
        <v>2</v>
      </c>
      <c r="AJ633">
        <v>0</v>
      </c>
      <c r="AK633" t="s">
        <v>454</v>
      </c>
      <c r="AL633">
        <v>31.927192000000002</v>
      </c>
      <c r="AM633" t="s">
        <v>455</v>
      </c>
      <c r="AN633">
        <v>-101.05610799999999</v>
      </c>
      <c r="AQ633" t="s">
        <v>129</v>
      </c>
      <c r="AR633">
        <v>79</v>
      </c>
      <c r="AS633">
        <v>-39</v>
      </c>
      <c r="AT633">
        <v>64</v>
      </c>
      <c r="BB633" t="str">
        <f t="shared" si="72"/>
        <v>1200</v>
      </c>
      <c r="BC633">
        <v>1</v>
      </c>
      <c r="BD633" t="str">
        <f t="shared" si="74"/>
        <v xml:space="preserve">N745MB  </v>
      </c>
      <c r="BE633">
        <v>1</v>
      </c>
      <c r="BG633">
        <v>0</v>
      </c>
      <c r="BH633">
        <v>0</v>
      </c>
      <c r="BI633">
        <v>0</v>
      </c>
      <c r="BL633" t="s">
        <v>130</v>
      </c>
      <c r="BM633">
        <v>1</v>
      </c>
      <c r="BN633">
        <v>0</v>
      </c>
      <c r="BO633">
        <v>0</v>
      </c>
      <c r="BP633">
        <v>0</v>
      </c>
      <c r="BT633">
        <v>0</v>
      </c>
      <c r="BU633">
        <v>0</v>
      </c>
      <c r="CE633" t="str">
        <f>"20:23:40.320"</f>
        <v>20:23:40.320</v>
      </c>
      <c r="CF633">
        <v>319589280</v>
      </c>
      <c r="CS633">
        <v>0</v>
      </c>
      <c r="CT633">
        <v>2</v>
      </c>
      <c r="CU633">
        <v>0</v>
      </c>
      <c r="CV633">
        <v>2</v>
      </c>
      <c r="CW633">
        <v>0</v>
      </c>
      <c r="CX633">
        <v>1</v>
      </c>
      <c r="CY633">
        <v>7</v>
      </c>
      <c r="CZ633" t="s">
        <v>131</v>
      </c>
      <c r="DA633">
        <v>116</v>
      </c>
      <c r="DB633">
        <v>3</v>
      </c>
      <c r="DC633" t="s">
        <v>132</v>
      </c>
      <c r="DD633" t="s">
        <v>133</v>
      </c>
      <c r="DG633">
        <v>8339107</v>
      </c>
      <c r="DI633">
        <v>0</v>
      </c>
      <c r="DJ633">
        <v>0</v>
      </c>
      <c r="DK633">
        <v>1</v>
      </c>
      <c r="DL633">
        <v>0</v>
      </c>
      <c r="DM633">
        <v>0</v>
      </c>
      <c r="DN633">
        <v>0</v>
      </c>
      <c r="DO633">
        <v>0</v>
      </c>
      <c r="DP633">
        <v>1</v>
      </c>
      <c r="DQ633">
        <v>0</v>
      </c>
      <c r="DR633">
        <v>0</v>
      </c>
      <c r="DS633">
        <v>0</v>
      </c>
    </row>
    <row r="634" spans="1:123" x14ac:dyDescent="0.25">
      <c r="A634" t="str">
        <f>"11/29/2023 20:23:41.852"</f>
        <v>11/29/2023 20:23:41.852</v>
      </c>
      <c r="C634" t="str">
        <f t="shared" si="76"/>
        <v>FFDF53C0</v>
      </c>
      <c r="D634" t="s">
        <v>123</v>
      </c>
      <c r="E634">
        <v>1</v>
      </c>
      <c r="F634">
        <v>1001</v>
      </c>
      <c r="G634" t="s">
        <v>134</v>
      </c>
      <c r="J634" t="s">
        <v>125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 t="shared" ref="S634:T637" si="77">"20:23:41.336"</f>
        <v>20:23:41.336</v>
      </c>
      <c r="T634" t="str">
        <f t="shared" si="77"/>
        <v>20:23:41.336</v>
      </c>
      <c r="U634" t="str">
        <f t="shared" si="71"/>
        <v>AA0632</v>
      </c>
      <c r="V634">
        <v>0</v>
      </c>
      <c r="W634">
        <v>0</v>
      </c>
      <c r="X634">
        <v>2</v>
      </c>
      <c r="Y634">
        <v>0</v>
      </c>
      <c r="AA634">
        <v>0</v>
      </c>
      <c r="AB634">
        <v>9</v>
      </c>
      <c r="AC634">
        <v>3</v>
      </c>
      <c r="AD634">
        <v>0</v>
      </c>
      <c r="AE634">
        <v>10</v>
      </c>
      <c r="AF634" t="s">
        <v>126</v>
      </c>
      <c r="AG634">
        <v>0</v>
      </c>
      <c r="AH634">
        <v>0</v>
      </c>
      <c r="AI634">
        <v>2</v>
      </c>
      <c r="AJ634">
        <v>0</v>
      </c>
      <c r="AK634" t="s">
        <v>456</v>
      </c>
      <c r="AL634">
        <v>31.927063</v>
      </c>
      <c r="AM634" t="s">
        <v>457</v>
      </c>
      <c r="AN634">
        <v>-101.05565799999999</v>
      </c>
      <c r="AQ634" t="s">
        <v>129</v>
      </c>
      <c r="AR634">
        <v>81</v>
      </c>
      <c r="AS634">
        <v>-36</v>
      </c>
      <c r="AT634">
        <v>128</v>
      </c>
      <c r="BB634" t="str">
        <f t="shared" si="72"/>
        <v>1200</v>
      </c>
      <c r="BC634">
        <v>1</v>
      </c>
      <c r="BD634" t="str">
        <f t="shared" si="74"/>
        <v xml:space="preserve">N745MB  </v>
      </c>
      <c r="BE634">
        <v>1</v>
      </c>
      <c r="BG634">
        <v>0</v>
      </c>
      <c r="BH634">
        <v>0</v>
      </c>
      <c r="BI634">
        <v>0</v>
      </c>
      <c r="BL634" t="s">
        <v>130</v>
      </c>
      <c r="BM634">
        <v>1</v>
      </c>
      <c r="BN634">
        <v>0</v>
      </c>
      <c r="BO634">
        <v>0</v>
      </c>
      <c r="BP634">
        <v>0</v>
      </c>
      <c r="BT634">
        <v>0</v>
      </c>
      <c r="BU634">
        <v>0</v>
      </c>
      <c r="CE634" t="str">
        <f>"20:23:41.338"</f>
        <v>20:23:41.338</v>
      </c>
      <c r="CF634">
        <v>337520483</v>
      </c>
      <c r="CS634">
        <v>0</v>
      </c>
      <c r="CT634">
        <v>2</v>
      </c>
      <c r="CU634">
        <v>0</v>
      </c>
      <c r="CV634">
        <v>2</v>
      </c>
      <c r="CW634">
        <v>0</v>
      </c>
      <c r="CX634">
        <v>2</v>
      </c>
      <c r="CY634">
        <v>7</v>
      </c>
      <c r="CZ634" t="s">
        <v>131</v>
      </c>
      <c r="DA634">
        <v>116</v>
      </c>
      <c r="DB634">
        <v>3</v>
      </c>
      <c r="DC634" t="s">
        <v>132</v>
      </c>
      <c r="DD634" t="s">
        <v>133</v>
      </c>
      <c r="DG634">
        <v>8339629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1</v>
      </c>
      <c r="DQ634">
        <v>0</v>
      </c>
      <c r="DR634">
        <v>0</v>
      </c>
      <c r="DS634">
        <v>0</v>
      </c>
    </row>
    <row r="635" spans="1:123" x14ac:dyDescent="0.25">
      <c r="A635" t="str">
        <f>"11/29/2023 20:23:41.852"</f>
        <v>11/29/2023 20:23:41.852</v>
      </c>
      <c r="C635" t="str">
        <f t="shared" si="76"/>
        <v>FFDF53C0</v>
      </c>
      <c r="D635" t="s">
        <v>135</v>
      </c>
      <c r="E635">
        <v>31</v>
      </c>
      <c r="H635">
        <v>285</v>
      </c>
      <c r="I635" t="s">
        <v>136</v>
      </c>
      <c r="J635" t="s">
        <v>137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 t="shared" si="77"/>
        <v>20:23:41.336</v>
      </c>
      <c r="T635" t="str">
        <f t="shared" si="77"/>
        <v>20:23:41.336</v>
      </c>
      <c r="U635" t="str">
        <f t="shared" si="71"/>
        <v>AA0632</v>
      </c>
      <c r="V635">
        <v>0</v>
      </c>
      <c r="W635">
        <v>0</v>
      </c>
      <c r="X635">
        <v>2</v>
      </c>
      <c r="Y635">
        <v>0</v>
      </c>
      <c r="AA635">
        <v>0</v>
      </c>
      <c r="AB635">
        <v>9</v>
      </c>
      <c r="AC635">
        <v>3</v>
      </c>
      <c r="AD635">
        <v>0</v>
      </c>
      <c r="AE635">
        <v>10</v>
      </c>
      <c r="AF635" t="s">
        <v>126</v>
      </c>
      <c r="AG635">
        <v>0</v>
      </c>
      <c r="AH635">
        <v>0</v>
      </c>
      <c r="AI635">
        <v>2</v>
      </c>
      <c r="AJ635">
        <v>0</v>
      </c>
      <c r="AK635" t="s">
        <v>456</v>
      </c>
      <c r="AL635">
        <v>31.927063</v>
      </c>
      <c r="AM635" t="s">
        <v>457</v>
      </c>
      <c r="AN635">
        <v>-101.05565799999999</v>
      </c>
      <c r="AQ635" t="s">
        <v>129</v>
      </c>
      <c r="AR635">
        <v>81</v>
      </c>
      <c r="AS635">
        <v>-36</v>
      </c>
      <c r="AT635">
        <v>128</v>
      </c>
      <c r="BB635" t="str">
        <f t="shared" si="72"/>
        <v>1200</v>
      </c>
      <c r="BC635">
        <v>1</v>
      </c>
      <c r="BD635" t="str">
        <f t="shared" si="74"/>
        <v xml:space="preserve">N745MB  </v>
      </c>
      <c r="BE635">
        <v>1</v>
      </c>
      <c r="BG635">
        <v>0</v>
      </c>
      <c r="BH635">
        <v>0</v>
      </c>
      <c r="BI635">
        <v>0</v>
      </c>
      <c r="BL635" t="s">
        <v>130</v>
      </c>
      <c r="BM635">
        <v>1</v>
      </c>
      <c r="BN635">
        <v>0</v>
      </c>
      <c r="BO635">
        <v>0</v>
      </c>
      <c r="BP635">
        <v>0</v>
      </c>
      <c r="BT635">
        <v>0</v>
      </c>
      <c r="BU635">
        <v>0</v>
      </c>
      <c r="CE635" t="str">
        <f>"20:23:41.338"</f>
        <v>20:23:41.338</v>
      </c>
      <c r="CF635">
        <v>337520483</v>
      </c>
      <c r="CS635">
        <v>0</v>
      </c>
      <c r="CT635">
        <v>2</v>
      </c>
      <c r="CU635">
        <v>0</v>
      </c>
      <c r="CV635">
        <v>2</v>
      </c>
      <c r="CW635">
        <v>0</v>
      </c>
      <c r="CX635">
        <v>2</v>
      </c>
      <c r="CY635">
        <v>7</v>
      </c>
      <c r="CZ635" t="s">
        <v>131</v>
      </c>
      <c r="DA635">
        <v>116</v>
      </c>
      <c r="DB635">
        <v>3</v>
      </c>
      <c r="DC635" t="s">
        <v>132</v>
      </c>
      <c r="DD635" t="s">
        <v>133</v>
      </c>
      <c r="DG635">
        <v>8339629</v>
      </c>
      <c r="DI635">
        <v>0</v>
      </c>
      <c r="DJ635">
        <v>0</v>
      </c>
      <c r="DK635">
        <v>1</v>
      </c>
      <c r="DL635">
        <v>0</v>
      </c>
      <c r="DM635">
        <v>0</v>
      </c>
      <c r="DN635">
        <v>0</v>
      </c>
      <c r="DO635">
        <v>0</v>
      </c>
      <c r="DP635">
        <v>1</v>
      </c>
      <c r="DQ635">
        <v>0</v>
      </c>
      <c r="DR635">
        <v>0</v>
      </c>
      <c r="DS635">
        <v>0</v>
      </c>
    </row>
    <row r="636" spans="1:123" x14ac:dyDescent="0.25">
      <c r="A636" t="str">
        <f>"11/29/2023 20:23:41.852"</f>
        <v>11/29/2023 20:23:41.852</v>
      </c>
      <c r="C636" t="str">
        <f t="shared" si="76"/>
        <v>FFDF53C0</v>
      </c>
      <c r="D636" t="s">
        <v>123</v>
      </c>
      <c r="E636">
        <v>14</v>
      </c>
      <c r="F636">
        <v>1014</v>
      </c>
      <c r="G636" t="s">
        <v>124</v>
      </c>
      <c r="J636" t="s">
        <v>125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 t="shared" si="77"/>
        <v>20:23:41.336</v>
      </c>
      <c r="T636" t="str">
        <f t="shared" si="77"/>
        <v>20:23:41.336</v>
      </c>
      <c r="U636" t="str">
        <f t="shared" si="71"/>
        <v>AA0632</v>
      </c>
      <c r="V636">
        <v>0</v>
      </c>
      <c r="W636">
        <v>0</v>
      </c>
      <c r="X636">
        <v>2</v>
      </c>
      <c r="Y636">
        <v>0</v>
      </c>
      <c r="AA636">
        <v>0</v>
      </c>
      <c r="AB636">
        <v>9</v>
      </c>
      <c r="AC636">
        <v>3</v>
      </c>
      <c r="AD636">
        <v>0</v>
      </c>
      <c r="AE636">
        <v>10</v>
      </c>
      <c r="AF636" t="s">
        <v>126</v>
      </c>
      <c r="AG636">
        <v>0</v>
      </c>
      <c r="AH636">
        <v>0</v>
      </c>
      <c r="AI636">
        <v>2</v>
      </c>
      <c r="AJ636">
        <v>0</v>
      </c>
      <c r="AK636" t="s">
        <v>456</v>
      </c>
      <c r="AL636">
        <v>31.927063</v>
      </c>
      <c r="AM636" t="s">
        <v>457</v>
      </c>
      <c r="AN636">
        <v>-101.05565799999999</v>
      </c>
      <c r="AQ636" t="s">
        <v>129</v>
      </c>
      <c r="AR636">
        <v>81</v>
      </c>
      <c r="AS636">
        <v>-36</v>
      </c>
      <c r="AT636">
        <v>128</v>
      </c>
      <c r="BB636" t="str">
        <f t="shared" si="72"/>
        <v>1200</v>
      </c>
      <c r="BC636">
        <v>1</v>
      </c>
      <c r="BD636" t="str">
        <f t="shared" si="74"/>
        <v xml:space="preserve">N745MB  </v>
      </c>
      <c r="BE636">
        <v>1</v>
      </c>
      <c r="BG636">
        <v>0</v>
      </c>
      <c r="BH636">
        <v>0</v>
      </c>
      <c r="BI636">
        <v>0</v>
      </c>
      <c r="BL636" t="s">
        <v>130</v>
      </c>
      <c r="BM636">
        <v>1</v>
      </c>
      <c r="BN636">
        <v>0</v>
      </c>
      <c r="BO636">
        <v>0</v>
      </c>
      <c r="BP636">
        <v>0</v>
      </c>
      <c r="BT636">
        <v>0</v>
      </c>
      <c r="BU636">
        <v>0</v>
      </c>
      <c r="CE636" t="str">
        <f>"20:23:41.338"</f>
        <v>20:23:41.338</v>
      </c>
      <c r="CF636">
        <v>337520483</v>
      </c>
      <c r="CS636">
        <v>0</v>
      </c>
      <c r="CT636">
        <v>2</v>
      </c>
      <c r="CU636">
        <v>0</v>
      </c>
      <c r="CV636">
        <v>2</v>
      </c>
      <c r="CW636">
        <v>0</v>
      </c>
      <c r="CX636">
        <v>2</v>
      </c>
      <c r="CY636">
        <v>7</v>
      </c>
      <c r="CZ636" t="s">
        <v>131</v>
      </c>
      <c r="DA636">
        <v>116</v>
      </c>
      <c r="DB636">
        <v>3</v>
      </c>
      <c r="DC636" t="s">
        <v>132</v>
      </c>
      <c r="DD636" t="s">
        <v>133</v>
      </c>
      <c r="DG636">
        <v>8339629</v>
      </c>
      <c r="DI636">
        <v>0</v>
      </c>
      <c r="DJ636">
        <v>0</v>
      </c>
      <c r="DK636">
        <v>1</v>
      </c>
      <c r="DL636">
        <v>0</v>
      </c>
      <c r="DM636">
        <v>0</v>
      </c>
      <c r="DN636">
        <v>0</v>
      </c>
      <c r="DO636">
        <v>0</v>
      </c>
      <c r="DP636">
        <v>1</v>
      </c>
      <c r="DQ636">
        <v>0</v>
      </c>
      <c r="DR636">
        <v>0</v>
      </c>
      <c r="DS636">
        <v>0</v>
      </c>
    </row>
    <row r="637" spans="1:123" x14ac:dyDescent="0.25">
      <c r="A637" t="str">
        <f>"11/29/2023 20:23:41.852"</f>
        <v>11/29/2023 20:23:41.852</v>
      </c>
      <c r="C637" t="str">
        <f t="shared" si="76"/>
        <v>FFDF53C0</v>
      </c>
      <c r="D637" t="s">
        <v>138</v>
      </c>
      <c r="E637">
        <v>3</v>
      </c>
      <c r="H637">
        <v>160</v>
      </c>
      <c r="I637" t="s">
        <v>124</v>
      </c>
      <c r="J637" t="s">
        <v>139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 t="shared" si="77"/>
        <v>20:23:41.336</v>
      </c>
      <c r="T637" t="str">
        <f t="shared" si="77"/>
        <v>20:23:41.336</v>
      </c>
      <c r="U637" t="str">
        <f t="shared" si="71"/>
        <v>AA0632</v>
      </c>
      <c r="V637">
        <v>0</v>
      </c>
      <c r="W637">
        <v>0</v>
      </c>
      <c r="X637">
        <v>2</v>
      </c>
      <c r="Y637">
        <v>0</v>
      </c>
      <c r="AA637">
        <v>0</v>
      </c>
      <c r="AB637">
        <v>9</v>
      </c>
      <c r="AC637">
        <v>3</v>
      </c>
      <c r="AD637">
        <v>0</v>
      </c>
      <c r="AE637">
        <v>10</v>
      </c>
      <c r="AF637" t="s">
        <v>126</v>
      </c>
      <c r="AG637">
        <v>0</v>
      </c>
      <c r="AH637">
        <v>0</v>
      </c>
      <c r="AI637">
        <v>2</v>
      </c>
      <c r="AJ637">
        <v>0</v>
      </c>
      <c r="AK637" t="s">
        <v>456</v>
      </c>
      <c r="AL637">
        <v>31.927063</v>
      </c>
      <c r="AM637" t="s">
        <v>457</v>
      </c>
      <c r="AN637">
        <v>-101.05565799999999</v>
      </c>
      <c r="AQ637" t="s">
        <v>129</v>
      </c>
      <c r="AR637">
        <v>81</v>
      </c>
      <c r="AS637">
        <v>-36</v>
      </c>
      <c r="AT637">
        <v>128</v>
      </c>
      <c r="BB637" t="str">
        <f t="shared" si="72"/>
        <v>1200</v>
      </c>
      <c r="BC637">
        <v>1</v>
      </c>
      <c r="BD637" t="str">
        <f t="shared" si="74"/>
        <v xml:space="preserve">N745MB  </v>
      </c>
      <c r="BE637">
        <v>1</v>
      </c>
      <c r="BG637">
        <v>0</v>
      </c>
      <c r="BH637">
        <v>0</v>
      </c>
      <c r="BI637">
        <v>0</v>
      </c>
      <c r="BL637" t="s">
        <v>130</v>
      </c>
      <c r="BM637">
        <v>1</v>
      </c>
      <c r="BN637">
        <v>0</v>
      </c>
      <c r="BO637">
        <v>0</v>
      </c>
      <c r="BP637">
        <v>0</v>
      </c>
      <c r="BT637">
        <v>0</v>
      </c>
      <c r="BU637">
        <v>0</v>
      </c>
      <c r="CE637" t="str">
        <f>"20:23:41.338"</f>
        <v>20:23:41.338</v>
      </c>
      <c r="CF637">
        <v>337520483</v>
      </c>
      <c r="CS637">
        <v>0</v>
      </c>
      <c r="CT637">
        <v>2</v>
      </c>
      <c r="CU637">
        <v>0</v>
      </c>
      <c r="CV637">
        <v>2</v>
      </c>
      <c r="CW637">
        <v>0</v>
      </c>
      <c r="CX637">
        <v>2</v>
      </c>
      <c r="CY637">
        <v>7</v>
      </c>
      <c r="CZ637" t="s">
        <v>131</v>
      </c>
      <c r="DA637">
        <v>116</v>
      </c>
      <c r="DB637">
        <v>3</v>
      </c>
      <c r="DC637" t="s">
        <v>132</v>
      </c>
      <c r="DD637" t="s">
        <v>133</v>
      </c>
      <c r="DG637">
        <v>8339629</v>
      </c>
      <c r="DI637">
        <v>0</v>
      </c>
      <c r="DJ637">
        <v>0</v>
      </c>
      <c r="DK637">
        <v>1</v>
      </c>
      <c r="DL637">
        <v>0</v>
      </c>
      <c r="DM637">
        <v>0</v>
      </c>
      <c r="DN637">
        <v>0</v>
      </c>
      <c r="DO637">
        <v>0</v>
      </c>
      <c r="DP637">
        <v>1</v>
      </c>
      <c r="DQ637">
        <v>0</v>
      </c>
      <c r="DR637">
        <v>0</v>
      </c>
      <c r="DS637">
        <v>0</v>
      </c>
    </row>
    <row r="638" spans="1:123" x14ac:dyDescent="0.25">
      <c r="A638" t="str">
        <f>"11/29/2023 20:23:43.399"</f>
        <v>11/29/2023 20:23:43.399</v>
      </c>
      <c r="C638" t="str">
        <f t="shared" si="76"/>
        <v>FFDF53C0</v>
      </c>
      <c r="D638" t="s">
        <v>123</v>
      </c>
      <c r="E638">
        <v>1</v>
      </c>
      <c r="F638">
        <v>1001</v>
      </c>
      <c r="G638" t="s">
        <v>134</v>
      </c>
      <c r="J638" t="s">
        <v>125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 t="shared" ref="S638:T641" si="78">"20:23:42.781"</f>
        <v>20:23:42.781</v>
      </c>
      <c r="T638" t="str">
        <f t="shared" si="78"/>
        <v>20:23:42.781</v>
      </c>
      <c r="U638" t="str">
        <f t="shared" si="71"/>
        <v>AA0632</v>
      </c>
      <c r="V638">
        <v>0</v>
      </c>
      <c r="W638">
        <v>0</v>
      </c>
      <c r="X638">
        <v>2</v>
      </c>
      <c r="Y638">
        <v>0</v>
      </c>
      <c r="AA638">
        <v>0</v>
      </c>
      <c r="AB638">
        <v>9</v>
      </c>
      <c r="AC638">
        <v>3</v>
      </c>
      <c r="AD638">
        <v>0</v>
      </c>
      <c r="AE638">
        <v>10</v>
      </c>
      <c r="AF638" t="s">
        <v>126</v>
      </c>
      <c r="AG638">
        <v>0</v>
      </c>
      <c r="AH638">
        <v>0</v>
      </c>
      <c r="AI638">
        <v>2</v>
      </c>
      <c r="AJ638">
        <v>0</v>
      </c>
      <c r="AK638" t="s">
        <v>458</v>
      </c>
      <c r="AL638">
        <v>31.926826999999999</v>
      </c>
      <c r="AM638" t="s">
        <v>459</v>
      </c>
      <c r="AN638">
        <v>-101.054993</v>
      </c>
      <c r="AQ638" t="s">
        <v>129</v>
      </c>
      <c r="AR638">
        <v>83</v>
      </c>
      <c r="AS638">
        <v>-32</v>
      </c>
      <c r="AT638">
        <v>320</v>
      </c>
      <c r="BB638" t="str">
        <f t="shared" si="72"/>
        <v>1200</v>
      </c>
      <c r="BC638">
        <v>1</v>
      </c>
      <c r="BD638" t="str">
        <f t="shared" si="74"/>
        <v xml:space="preserve">N745MB  </v>
      </c>
      <c r="BE638">
        <v>1</v>
      </c>
      <c r="BG638">
        <v>0</v>
      </c>
      <c r="BH638">
        <v>0</v>
      </c>
      <c r="BI638">
        <v>0</v>
      </c>
      <c r="BL638" t="s">
        <v>130</v>
      </c>
      <c r="BM638">
        <v>1</v>
      </c>
      <c r="BN638">
        <v>0</v>
      </c>
      <c r="BO638">
        <v>0</v>
      </c>
      <c r="BP638">
        <v>0</v>
      </c>
      <c r="BT638">
        <v>0</v>
      </c>
      <c r="BU638">
        <v>0</v>
      </c>
      <c r="CE638" t="str">
        <f>"20:23:42.781"</f>
        <v>20:23:42.781</v>
      </c>
      <c r="CF638">
        <v>781423166</v>
      </c>
      <c r="CS638">
        <v>0</v>
      </c>
      <c r="CT638">
        <v>2</v>
      </c>
      <c r="CU638">
        <v>0</v>
      </c>
      <c r="CV638">
        <v>2</v>
      </c>
      <c r="CW638">
        <v>0</v>
      </c>
      <c r="CX638">
        <v>1</v>
      </c>
      <c r="CY638">
        <v>7</v>
      </c>
      <c r="CZ638" t="s">
        <v>131</v>
      </c>
      <c r="DA638">
        <v>116</v>
      </c>
      <c r="DB638">
        <v>3</v>
      </c>
      <c r="DC638" t="s">
        <v>132</v>
      </c>
      <c r="DD638" t="s">
        <v>133</v>
      </c>
      <c r="DG638">
        <v>8340381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1</v>
      </c>
      <c r="DQ638">
        <v>0</v>
      </c>
      <c r="DR638">
        <v>0</v>
      </c>
      <c r="DS638">
        <v>0</v>
      </c>
    </row>
    <row r="639" spans="1:123" x14ac:dyDescent="0.25">
      <c r="A639" t="str">
        <f>"11/29/2023 20:23:43.399"</f>
        <v>11/29/2023 20:23:43.399</v>
      </c>
      <c r="C639" t="str">
        <f t="shared" si="76"/>
        <v>FFDF53C0</v>
      </c>
      <c r="D639" t="s">
        <v>135</v>
      </c>
      <c r="E639">
        <v>31</v>
      </c>
      <c r="H639">
        <v>285</v>
      </c>
      <c r="I639" t="s">
        <v>136</v>
      </c>
      <c r="J639" t="s">
        <v>137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 t="shared" si="78"/>
        <v>20:23:42.781</v>
      </c>
      <c r="T639" t="str">
        <f t="shared" si="78"/>
        <v>20:23:42.781</v>
      </c>
      <c r="U639" t="str">
        <f t="shared" si="71"/>
        <v>AA0632</v>
      </c>
      <c r="V639">
        <v>0</v>
      </c>
      <c r="W639">
        <v>0</v>
      </c>
      <c r="X639">
        <v>2</v>
      </c>
      <c r="Y639">
        <v>0</v>
      </c>
      <c r="AA639">
        <v>0</v>
      </c>
      <c r="AB639">
        <v>9</v>
      </c>
      <c r="AC639">
        <v>3</v>
      </c>
      <c r="AD639">
        <v>0</v>
      </c>
      <c r="AE639">
        <v>10</v>
      </c>
      <c r="AF639" t="s">
        <v>126</v>
      </c>
      <c r="AG639">
        <v>0</v>
      </c>
      <c r="AH639">
        <v>0</v>
      </c>
      <c r="AI639">
        <v>2</v>
      </c>
      <c r="AJ639">
        <v>0</v>
      </c>
      <c r="AK639" t="s">
        <v>458</v>
      </c>
      <c r="AL639">
        <v>31.926826999999999</v>
      </c>
      <c r="AM639" t="s">
        <v>459</v>
      </c>
      <c r="AN639">
        <v>-101.054993</v>
      </c>
      <c r="AQ639" t="s">
        <v>129</v>
      </c>
      <c r="AR639">
        <v>83</v>
      </c>
      <c r="AS639">
        <v>-32</v>
      </c>
      <c r="AT639">
        <v>320</v>
      </c>
      <c r="BB639" t="str">
        <f t="shared" si="72"/>
        <v>1200</v>
      </c>
      <c r="BC639">
        <v>1</v>
      </c>
      <c r="BD639" t="str">
        <f t="shared" si="74"/>
        <v xml:space="preserve">N745MB  </v>
      </c>
      <c r="BE639">
        <v>1</v>
      </c>
      <c r="BG639">
        <v>0</v>
      </c>
      <c r="BH639">
        <v>0</v>
      </c>
      <c r="BI639">
        <v>0</v>
      </c>
      <c r="BL639" t="s">
        <v>130</v>
      </c>
      <c r="BM639">
        <v>1</v>
      </c>
      <c r="BN639">
        <v>0</v>
      </c>
      <c r="BO639">
        <v>0</v>
      </c>
      <c r="BP639">
        <v>0</v>
      </c>
      <c r="BT639">
        <v>0</v>
      </c>
      <c r="BU639">
        <v>0</v>
      </c>
      <c r="CE639" t="str">
        <f>"20:23:42.781"</f>
        <v>20:23:42.781</v>
      </c>
      <c r="CF639">
        <v>781423166</v>
      </c>
      <c r="CS639">
        <v>0</v>
      </c>
      <c r="CT639">
        <v>2</v>
      </c>
      <c r="CU639">
        <v>0</v>
      </c>
      <c r="CV639">
        <v>2</v>
      </c>
      <c r="CW639">
        <v>0</v>
      </c>
      <c r="CX639">
        <v>1</v>
      </c>
      <c r="CY639">
        <v>7</v>
      </c>
      <c r="CZ639" t="s">
        <v>131</v>
      </c>
      <c r="DA639">
        <v>116</v>
      </c>
      <c r="DB639">
        <v>3</v>
      </c>
      <c r="DC639" t="s">
        <v>132</v>
      </c>
      <c r="DD639" t="s">
        <v>133</v>
      </c>
      <c r="DG639">
        <v>8340381</v>
      </c>
      <c r="DI639">
        <v>0</v>
      </c>
      <c r="DJ639">
        <v>0</v>
      </c>
      <c r="DK639">
        <v>1</v>
      </c>
      <c r="DL639">
        <v>0</v>
      </c>
      <c r="DM639">
        <v>0</v>
      </c>
      <c r="DN639">
        <v>0</v>
      </c>
      <c r="DO639">
        <v>0</v>
      </c>
      <c r="DP639">
        <v>1</v>
      </c>
      <c r="DQ639">
        <v>0</v>
      </c>
      <c r="DR639">
        <v>0</v>
      </c>
      <c r="DS639">
        <v>0</v>
      </c>
    </row>
    <row r="640" spans="1:123" x14ac:dyDescent="0.25">
      <c r="A640" t="str">
        <f>"11/29/2023 20:23:43.414"</f>
        <v>11/29/2023 20:23:43.414</v>
      </c>
      <c r="C640" t="str">
        <f t="shared" si="76"/>
        <v>FFDF53C0</v>
      </c>
      <c r="D640" t="s">
        <v>123</v>
      </c>
      <c r="E640">
        <v>14</v>
      </c>
      <c r="F640">
        <v>1014</v>
      </c>
      <c r="G640" t="s">
        <v>124</v>
      </c>
      <c r="J640" t="s">
        <v>125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 t="shared" si="78"/>
        <v>20:23:42.781</v>
      </c>
      <c r="T640" t="str">
        <f t="shared" si="78"/>
        <v>20:23:42.781</v>
      </c>
      <c r="U640" t="str">
        <f t="shared" si="71"/>
        <v>AA0632</v>
      </c>
      <c r="V640">
        <v>0</v>
      </c>
      <c r="W640">
        <v>0</v>
      </c>
      <c r="X640">
        <v>2</v>
      </c>
      <c r="Y640">
        <v>0</v>
      </c>
      <c r="AA640">
        <v>0</v>
      </c>
      <c r="AB640">
        <v>9</v>
      </c>
      <c r="AC640">
        <v>3</v>
      </c>
      <c r="AD640">
        <v>0</v>
      </c>
      <c r="AE640">
        <v>10</v>
      </c>
      <c r="AF640" t="s">
        <v>126</v>
      </c>
      <c r="AG640">
        <v>0</v>
      </c>
      <c r="AH640">
        <v>0</v>
      </c>
      <c r="AI640">
        <v>2</v>
      </c>
      <c r="AJ640">
        <v>0</v>
      </c>
      <c r="AK640" t="s">
        <v>458</v>
      </c>
      <c r="AL640">
        <v>31.926826999999999</v>
      </c>
      <c r="AM640" t="s">
        <v>459</v>
      </c>
      <c r="AN640">
        <v>-101.054993</v>
      </c>
      <c r="AQ640" t="s">
        <v>129</v>
      </c>
      <c r="AR640">
        <v>83</v>
      </c>
      <c r="AS640">
        <v>-32</v>
      </c>
      <c r="AT640">
        <v>320</v>
      </c>
      <c r="BB640" t="str">
        <f t="shared" si="72"/>
        <v>1200</v>
      </c>
      <c r="BC640">
        <v>1</v>
      </c>
      <c r="BD640" t="str">
        <f t="shared" si="74"/>
        <v xml:space="preserve">N745MB  </v>
      </c>
      <c r="BE640">
        <v>1</v>
      </c>
      <c r="BG640">
        <v>0</v>
      </c>
      <c r="BH640">
        <v>0</v>
      </c>
      <c r="BI640">
        <v>0</v>
      </c>
      <c r="BL640" t="s">
        <v>130</v>
      </c>
      <c r="BM640">
        <v>1</v>
      </c>
      <c r="BN640">
        <v>0</v>
      </c>
      <c r="BO640">
        <v>0</v>
      </c>
      <c r="BP640">
        <v>0</v>
      </c>
      <c r="BT640">
        <v>0</v>
      </c>
      <c r="BU640">
        <v>0</v>
      </c>
      <c r="CE640" t="str">
        <f>"20:23:42.781"</f>
        <v>20:23:42.781</v>
      </c>
      <c r="CF640">
        <v>781423166</v>
      </c>
      <c r="CS640">
        <v>0</v>
      </c>
      <c r="CT640">
        <v>2</v>
      </c>
      <c r="CU640">
        <v>0</v>
      </c>
      <c r="CV640">
        <v>2</v>
      </c>
      <c r="CW640">
        <v>0</v>
      </c>
      <c r="CX640">
        <v>1</v>
      </c>
      <c r="CY640">
        <v>7</v>
      </c>
      <c r="CZ640" t="s">
        <v>131</v>
      </c>
      <c r="DA640">
        <v>116</v>
      </c>
      <c r="DB640">
        <v>3</v>
      </c>
      <c r="DC640" t="s">
        <v>132</v>
      </c>
      <c r="DD640" t="s">
        <v>133</v>
      </c>
      <c r="DG640">
        <v>8340381</v>
      </c>
      <c r="DI640">
        <v>0</v>
      </c>
      <c r="DJ640">
        <v>0</v>
      </c>
      <c r="DK640">
        <v>1</v>
      </c>
      <c r="DL640">
        <v>0</v>
      </c>
      <c r="DM640">
        <v>0</v>
      </c>
      <c r="DN640">
        <v>0</v>
      </c>
      <c r="DO640">
        <v>0</v>
      </c>
      <c r="DP640">
        <v>1</v>
      </c>
      <c r="DQ640">
        <v>0</v>
      </c>
      <c r="DR640">
        <v>0</v>
      </c>
      <c r="DS640">
        <v>0</v>
      </c>
    </row>
    <row r="641" spans="1:123" x14ac:dyDescent="0.25">
      <c r="A641" t="str">
        <f>"11/29/2023 20:23:43.414"</f>
        <v>11/29/2023 20:23:43.414</v>
      </c>
      <c r="C641" t="str">
        <f t="shared" si="76"/>
        <v>FFDF53C0</v>
      </c>
      <c r="D641" t="s">
        <v>138</v>
      </c>
      <c r="E641">
        <v>3</v>
      </c>
      <c r="H641">
        <v>160</v>
      </c>
      <c r="I641" t="s">
        <v>124</v>
      </c>
      <c r="J641" t="s">
        <v>139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 t="shared" si="78"/>
        <v>20:23:42.781</v>
      </c>
      <c r="T641" t="str">
        <f t="shared" si="78"/>
        <v>20:23:42.781</v>
      </c>
      <c r="U641" t="str">
        <f t="shared" si="71"/>
        <v>AA0632</v>
      </c>
      <c r="V641">
        <v>0</v>
      </c>
      <c r="W641">
        <v>0</v>
      </c>
      <c r="X641">
        <v>2</v>
      </c>
      <c r="Y641">
        <v>0</v>
      </c>
      <c r="AA641">
        <v>0</v>
      </c>
      <c r="AB641">
        <v>9</v>
      </c>
      <c r="AC641">
        <v>3</v>
      </c>
      <c r="AD641">
        <v>0</v>
      </c>
      <c r="AE641">
        <v>10</v>
      </c>
      <c r="AF641" t="s">
        <v>126</v>
      </c>
      <c r="AG641">
        <v>0</v>
      </c>
      <c r="AH641">
        <v>0</v>
      </c>
      <c r="AI641">
        <v>2</v>
      </c>
      <c r="AJ641">
        <v>0</v>
      </c>
      <c r="AK641" t="s">
        <v>458</v>
      </c>
      <c r="AL641">
        <v>31.926826999999999</v>
      </c>
      <c r="AM641" t="s">
        <v>459</v>
      </c>
      <c r="AN641">
        <v>-101.054993</v>
      </c>
      <c r="AQ641" t="s">
        <v>129</v>
      </c>
      <c r="AR641">
        <v>83</v>
      </c>
      <c r="AS641">
        <v>-32</v>
      </c>
      <c r="AT641">
        <v>320</v>
      </c>
      <c r="BB641" t="str">
        <f t="shared" si="72"/>
        <v>1200</v>
      </c>
      <c r="BC641">
        <v>1</v>
      </c>
      <c r="BD641" t="str">
        <f t="shared" si="74"/>
        <v xml:space="preserve">N745MB  </v>
      </c>
      <c r="BE641">
        <v>1</v>
      </c>
      <c r="BG641">
        <v>0</v>
      </c>
      <c r="BH641">
        <v>0</v>
      </c>
      <c r="BI641">
        <v>0</v>
      </c>
      <c r="BL641" t="s">
        <v>130</v>
      </c>
      <c r="BM641">
        <v>1</v>
      </c>
      <c r="BN641">
        <v>0</v>
      </c>
      <c r="BO641">
        <v>0</v>
      </c>
      <c r="BP641">
        <v>0</v>
      </c>
      <c r="BT641">
        <v>0</v>
      </c>
      <c r="BU641">
        <v>0</v>
      </c>
      <c r="CE641" t="str">
        <f>"20:23:42.781"</f>
        <v>20:23:42.781</v>
      </c>
      <c r="CF641">
        <v>781423166</v>
      </c>
      <c r="CS641">
        <v>0</v>
      </c>
      <c r="CT641">
        <v>2</v>
      </c>
      <c r="CU641">
        <v>0</v>
      </c>
      <c r="CV641">
        <v>2</v>
      </c>
      <c r="CW641">
        <v>0</v>
      </c>
      <c r="CX641">
        <v>1</v>
      </c>
      <c r="CY641">
        <v>7</v>
      </c>
      <c r="CZ641" t="s">
        <v>131</v>
      </c>
      <c r="DA641">
        <v>116</v>
      </c>
      <c r="DB641">
        <v>3</v>
      </c>
      <c r="DC641" t="s">
        <v>132</v>
      </c>
      <c r="DD641" t="s">
        <v>133</v>
      </c>
      <c r="DG641">
        <v>8340381</v>
      </c>
      <c r="DI641">
        <v>0</v>
      </c>
      <c r="DJ641">
        <v>0</v>
      </c>
      <c r="DK641">
        <v>1</v>
      </c>
      <c r="DL641">
        <v>0</v>
      </c>
      <c r="DM641">
        <v>0</v>
      </c>
      <c r="DN641">
        <v>0</v>
      </c>
      <c r="DO641">
        <v>0</v>
      </c>
      <c r="DP641">
        <v>1</v>
      </c>
      <c r="DQ641">
        <v>0</v>
      </c>
      <c r="DR641">
        <v>0</v>
      </c>
      <c r="DS641">
        <v>0</v>
      </c>
    </row>
    <row r="642" spans="1:123" x14ac:dyDescent="0.25">
      <c r="A642" t="str">
        <f>"11/29/2023 20:23:48.086"</f>
        <v>11/29/2023 20:23:48.086</v>
      </c>
      <c r="C642" t="str">
        <f t="shared" si="76"/>
        <v>FFDF53C0</v>
      </c>
      <c r="D642" t="s">
        <v>123</v>
      </c>
      <c r="E642">
        <v>1</v>
      </c>
      <c r="F642">
        <v>1001</v>
      </c>
      <c r="G642" t="s">
        <v>134</v>
      </c>
      <c r="J642" t="s">
        <v>125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"20:23:47.711"</f>
        <v>20:23:47.711</v>
      </c>
      <c r="T642" t="str">
        <f>"20:23:47.511"</f>
        <v>20:23:47.511</v>
      </c>
      <c r="U642" t="str">
        <f t="shared" ref="U642:U705" si="79">"AA0632"</f>
        <v>AA0632</v>
      </c>
      <c r="V642">
        <v>0</v>
      </c>
      <c r="W642">
        <v>0</v>
      </c>
      <c r="X642">
        <v>2</v>
      </c>
      <c r="Y642">
        <v>0</v>
      </c>
      <c r="AA642">
        <v>0</v>
      </c>
      <c r="AB642">
        <v>9</v>
      </c>
      <c r="AC642">
        <v>3</v>
      </c>
      <c r="AD642">
        <v>0</v>
      </c>
      <c r="AE642">
        <v>10</v>
      </c>
      <c r="AF642" t="s">
        <v>126</v>
      </c>
      <c r="AG642">
        <v>0</v>
      </c>
      <c r="AH642">
        <v>0</v>
      </c>
      <c r="AI642">
        <v>2</v>
      </c>
      <c r="AJ642">
        <v>0</v>
      </c>
      <c r="AK642" t="s">
        <v>460</v>
      </c>
      <c r="AL642">
        <v>31.926227000000001</v>
      </c>
      <c r="AM642" t="s">
        <v>461</v>
      </c>
      <c r="AN642">
        <v>-101.052761</v>
      </c>
      <c r="AQ642" t="s">
        <v>129</v>
      </c>
      <c r="AR642">
        <v>86</v>
      </c>
      <c r="AS642">
        <v>-25</v>
      </c>
      <c r="AT642">
        <v>640</v>
      </c>
      <c r="BB642" t="str">
        <f t="shared" ref="BB642:BB705" si="80">"1200"</f>
        <v>1200</v>
      </c>
      <c r="BC642">
        <v>1</v>
      </c>
      <c r="BD642" t="str">
        <f t="shared" si="74"/>
        <v xml:space="preserve">N745MB  </v>
      </c>
      <c r="BE642">
        <v>1</v>
      </c>
      <c r="BG642">
        <v>0</v>
      </c>
      <c r="BH642">
        <v>0</v>
      </c>
      <c r="BI642">
        <v>0</v>
      </c>
      <c r="BL642" t="s">
        <v>130</v>
      </c>
      <c r="BM642">
        <v>1</v>
      </c>
      <c r="BN642">
        <v>0</v>
      </c>
      <c r="BO642">
        <v>0</v>
      </c>
      <c r="BP642">
        <v>0</v>
      </c>
      <c r="BT642">
        <v>0</v>
      </c>
      <c r="BU642">
        <v>0</v>
      </c>
      <c r="CE642" t="str">
        <f>"20:23:47.713"</f>
        <v>20:23:47.713</v>
      </c>
      <c r="CF642">
        <v>713090679</v>
      </c>
      <c r="CS642">
        <v>0</v>
      </c>
      <c r="CT642">
        <v>2</v>
      </c>
      <c r="CU642">
        <v>0</v>
      </c>
      <c r="CV642">
        <v>2</v>
      </c>
      <c r="CW642">
        <v>0</v>
      </c>
      <c r="CX642">
        <v>1</v>
      </c>
      <c r="CY642">
        <v>7</v>
      </c>
      <c r="CZ642" t="s">
        <v>131</v>
      </c>
      <c r="DA642">
        <v>116</v>
      </c>
      <c r="DB642">
        <v>3</v>
      </c>
      <c r="DC642" t="s">
        <v>132</v>
      </c>
      <c r="DD642" t="s">
        <v>133</v>
      </c>
      <c r="DG642">
        <v>8342999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1</v>
      </c>
      <c r="DQ642">
        <v>0</v>
      </c>
      <c r="DR642">
        <v>0</v>
      </c>
      <c r="DS642">
        <v>0</v>
      </c>
    </row>
    <row r="643" spans="1:123" x14ac:dyDescent="0.25">
      <c r="A643" t="str">
        <f>"11/29/2023 20:23:48.086"</f>
        <v>11/29/2023 20:23:48.086</v>
      </c>
      <c r="C643" t="str">
        <f t="shared" si="76"/>
        <v>FFDF53C0</v>
      </c>
      <c r="D643" t="s">
        <v>123</v>
      </c>
      <c r="E643">
        <v>14</v>
      </c>
      <c r="F643">
        <v>1014</v>
      </c>
      <c r="G643" t="s">
        <v>124</v>
      </c>
      <c r="J643" t="s">
        <v>125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"20:23:47.711"</f>
        <v>20:23:47.711</v>
      </c>
      <c r="T643" t="str">
        <f>"20:23:47.511"</f>
        <v>20:23:47.511</v>
      </c>
      <c r="U643" t="str">
        <f t="shared" si="79"/>
        <v>AA0632</v>
      </c>
      <c r="V643">
        <v>0</v>
      </c>
      <c r="W643">
        <v>0</v>
      </c>
      <c r="X643">
        <v>2</v>
      </c>
      <c r="Y643">
        <v>0</v>
      </c>
      <c r="AA643">
        <v>0</v>
      </c>
      <c r="AB643">
        <v>9</v>
      </c>
      <c r="AC643">
        <v>3</v>
      </c>
      <c r="AD643">
        <v>0</v>
      </c>
      <c r="AE643">
        <v>10</v>
      </c>
      <c r="AF643" t="s">
        <v>126</v>
      </c>
      <c r="AG643">
        <v>0</v>
      </c>
      <c r="AH643">
        <v>0</v>
      </c>
      <c r="AI643">
        <v>2</v>
      </c>
      <c r="AJ643">
        <v>0</v>
      </c>
      <c r="AK643" t="s">
        <v>460</v>
      </c>
      <c r="AL643">
        <v>31.926227000000001</v>
      </c>
      <c r="AM643" t="s">
        <v>461</v>
      </c>
      <c r="AN643">
        <v>-101.052761</v>
      </c>
      <c r="AQ643" t="s">
        <v>129</v>
      </c>
      <c r="AR643">
        <v>86</v>
      </c>
      <c r="AS643">
        <v>-25</v>
      </c>
      <c r="AT643">
        <v>640</v>
      </c>
      <c r="BB643" t="str">
        <f t="shared" si="80"/>
        <v>1200</v>
      </c>
      <c r="BC643">
        <v>1</v>
      </c>
      <c r="BD643" t="str">
        <f t="shared" si="74"/>
        <v xml:space="preserve">N745MB  </v>
      </c>
      <c r="BE643">
        <v>1</v>
      </c>
      <c r="BG643">
        <v>0</v>
      </c>
      <c r="BH643">
        <v>0</v>
      </c>
      <c r="BI643">
        <v>0</v>
      </c>
      <c r="BL643" t="s">
        <v>130</v>
      </c>
      <c r="BM643">
        <v>1</v>
      </c>
      <c r="BN643">
        <v>0</v>
      </c>
      <c r="BO643">
        <v>0</v>
      </c>
      <c r="BP643">
        <v>0</v>
      </c>
      <c r="BT643">
        <v>0</v>
      </c>
      <c r="BU643">
        <v>0</v>
      </c>
      <c r="CE643" t="str">
        <f>"20:23:47.713"</f>
        <v>20:23:47.713</v>
      </c>
      <c r="CF643">
        <v>713090679</v>
      </c>
      <c r="CS643">
        <v>0</v>
      </c>
      <c r="CT643">
        <v>2</v>
      </c>
      <c r="CU643">
        <v>0</v>
      </c>
      <c r="CV643">
        <v>2</v>
      </c>
      <c r="CW643">
        <v>0</v>
      </c>
      <c r="CX643">
        <v>1</v>
      </c>
      <c r="CY643">
        <v>7</v>
      </c>
      <c r="CZ643" t="s">
        <v>131</v>
      </c>
      <c r="DA643">
        <v>116</v>
      </c>
      <c r="DB643">
        <v>3</v>
      </c>
      <c r="DC643" t="s">
        <v>132</v>
      </c>
      <c r="DD643" t="s">
        <v>133</v>
      </c>
      <c r="DG643">
        <v>8342999</v>
      </c>
      <c r="DI643">
        <v>0</v>
      </c>
      <c r="DJ643">
        <v>0</v>
      </c>
      <c r="DK643">
        <v>1</v>
      </c>
      <c r="DL643">
        <v>0</v>
      </c>
      <c r="DM643">
        <v>0</v>
      </c>
      <c r="DN643">
        <v>0</v>
      </c>
      <c r="DO643">
        <v>0</v>
      </c>
      <c r="DP643">
        <v>1</v>
      </c>
      <c r="DQ643">
        <v>0</v>
      </c>
      <c r="DR643">
        <v>0</v>
      </c>
      <c r="DS643">
        <v>0</v>
      </c>
    </row>
    <row r="644" spans="1:123" x14ac:dyDescent="0.25">
      <c r="A644" t="str">
        <f>"11/29/2023 20:23:48.086"</f>
        <v>11/29/2023 20:23:48.086</v>
      </c>
      <c r="C644" t="str">
        <f t="shared" si="76"/>
        <v>FFDF53C0</v>
      </c>
      <c r="D644" t="s">
        <v>135</v>
      </c>
      <c r="E644">
        <v>31</v>
      </c>
      <c r="H644">
        <v>285</v>
      </c>
      <c r="I644" t="s">
        <v>136</v>
      </c>
      <c r="J644" t="s">
        <v>137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"20:23:47.711"</f>
        <v>20:23:47.711</v>
      </c>
      <c r="T644" t="str">
        <f>"20:23:47.511"</f>
        <v>20:23:47.511</v>
      </c>
      <c r="U644" t="str">
        <f t="shared" si="79"/>
        <v>AA0632</v>
      </c>
      <c r="V644">
        <v>0</v>
      </c>
      <c r="W644">
        <v>0</v>
      </c>
      <c r="X644">
        <v>2</v>
      </c>
      <c r="Y644">
        <v>0</v>
      </c>
      <c r="AA644">
        <v>0</v>
      </c>
      <c r="AB644">
        <v>9</v>
      </c>
      <c r="AC644">
        <v>3</v>
      </c>
      <c r="AD644">
        <v>0</v>
      </c>
      <c r="AE644">
        <v>10</v>
      </c>
      <c r="AF644" t="s">
        <v>126</v>
      </c>
      <c r="AG644">
        <v>0</v>
      </c>
      <c r="AH644">
        <v>0</v>
      </c>
      <c r="AI644">
        <v>2</v>
      </c>
      <c r="AJ644">
        <v>0</v>
      </c>
      <c r="AK644" t="s">
        <v>460</v>
      </c>
      <c r="AL644">
        <v>31.926227000000001</v>
      </c>
      <c r="AM644" t="s">
        <v>461</v>
      </c>
      <c r="AN644">
        <v>-101.052761</v>
      </c>
      <c r="AQ644" t="s">
        <v>129</v>
      </c>
      <c r="AR644">
        <v>86</v>
      </c>
      <c r="AS644">
        <v>-25</v>
      </c>
      <c r="AT644">
        <v>640</v>
      </c>
      <c r="BB644" t="str">
        <f t="shared" si="80"/>
        <v>1200</v>
      </c>
      <c r="BC644">
        <v>1</v>
      </c>
      <c r="BD644" t="str">
        <f t="shared" si="74"/>
        <v xml:space="preserve">N745MB  </v>
      </c>
      <c r="BE644">
        <v>1</v>
      </c>
      <c r="BG644">
        <v>0</v>
      </c>
      <c r="BH644">
        <v>0</v>
      </c>
      <c r="BI644">
        <v>0</v>
      </c>
      <c r="BL644" t="s">
        <v>130</v>
      </c>
      <c r="BM644">
        <v>1</v>
      </c>
      <c r="BN644">
        <v>0</v>
      </c>
      <c r="BO644">
        <v>0</v>
      </c>
      <c r="BP644">
        <v>0</v>
      </c>
      <c r="BT644">
        <v>0</v>
      </c>
      <c r="BU644">
        <v>0</v>
      </c>
      <c r="CE644" t="str">
        <f>"20:23:47.713"</f>
        <v>20:23:47.713</v>
      </c>
      <c r="CF644">
        <v>713090679</v>
      </c>
      <c r="CS644">
        <v>0</v>
      </c>
      <c r="CT644">
        <v>2</v>
      </c>
      <c r="CU644">
        <v>0</v>
      </c>
      <c r="CV644">
        <v>2</v>
      </c>
      <c r="CW644">
        <v>0</v>
      </c>
      <c r="CX644">
        <v>1</v>
      </c>
      <c r="CY644">
        <v>7</v>
      </c>
      <c r="CZ644" t="s">
        <v>131</v>
      </c>
      <c r="DA644">
        <v>116</v>
      </c>
      <c r="DB644">
        <v>3</v>
      </c>
      <c r="DC644" t="s">
        <v>132</v>
      </c>
      <c r="DD644" t="s">
        <v>133</v>
      </c>
      <c r="DG644">
        <v>8342999</v>
      </c>
      <c r="DI644">
        <v>0</v>
      </c>
      <c r="DJ644">
        <v>0</v>
      </c>
      <c r="DK644">
        <v>1</v>
      </c>
      <c r="DL644">
        <v>0</v>
      </c>
      <c r="DM644">
        <v>0</v>
      </c>
      <c r="DN644">
        <v>0</v>
      </c>
      <c r="DO644">
        <v>0</v>
      </c>
      <c r="DP644">
        <v>1</v>
      </c>
      <c r="DQ644">
        <v>0</v>
      </c>
      <c r="DR644">
        <v>0</v>
      </c>
      <c r="DS644">
        <v>0</v>
      </c>
    </row>
    <row r="645" spans="1:123" x14ac:dyDescent="0.25">
      <c r="A645" t="str">
        <f>"11/29/2023 20:23:48.086"</f>
        <v>11/29/2023 20:23:48.086</v>
      </c>
      <c r="C645" t="str">
        <f t="shared" si="76"/>
        <v>FFDF53C0</v>
      </c>
      <c r="D645" t="s">
        <v>138</v>
      </c>
      <c r="E645">
        <v>3</v>
      </c>
      <c r="H645">
        <v>160</v>
      </c>
      <c r="I645" t="s">
        <v>124</v>
      </c>
      <c r="J645" t="s">
        <v>139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"20:23:47.711"</f>
        <v>20:23:47.711</v>
      </c>
      <c r="T645" t="str">
        <f>"20:23:47.511"</f>
        <v>20:23:47.511</v>
      </c>
      <c r="U645" t="str">
        <f t="shared" si="79"/>
        <v>AA0632</v>
      </c>
      <c r="V645">
        <v>0</v>
      </c>
      <c r="W645">
        <v>0</v>
      </c>
      <c r="X645">
        <v>2</v>
      </c>
      <c r="Y645">
        <v>0</v>
      </c>
      <c r="AA645">
        <v>0</v>
      </c>
      <c r="AB645">
        <v>9</v>
      </c>
      <c r="AC645">
        <v>3</v>
      </c>
      <c r="AD645">
        <v>0</v>
      </c>
      <c r="AE645">
        <v>10</v>
      </c>
      <c r="AF645" t="s">
        <v>126</v>
      </c>
      <c r="AG645">
        <v>0</v>
      </c>
      <c r="AH645">
        <v>0</v>
      </c>
      <c r="AI645">
        <v>2</v>
      </c>
      <c r="AJ645">
        <v>0</v>
      </c>
      <c r="AK645" t="s">
        <v>460</v>
      </c>
      <c r="AL645">
        <v>31.926227000000001</v>
      </c>
      <c r="AM645" t="s">
        <v>461</v>
      </c>
      <c r="AN645">
        <v>-101.052761</v>
      </c>
      <c r="AQ645" t="s">
        <v>129</v>
      </c>
      <c r="AR645">
        <v>86</v>
      </c>
      <c r="AS645">
        <v>-25</v>
      </c>
      <c r="AT645">
        <v>640</v>
      </c>
      <c r="BB645" t="str">
        <f t="shared" si="80"/>
        <v>1200</v>
      </c>
      <c r="BC645">
        <v>1</v>
      </c>
      <c r="BD645" t="str">
        <f t="shared" si="74"/>
        <v xml:space="preserve">N745MB  </v>
      </c>
      <c r="BE645">
        <v>1</v>
      </c>
      <c r="BG645">
        <v>0</v>
      </c>
      <c r="BH645">
        <v>0</v>
      </c>
      <c r="BI645">
        <v>0</v>
      </c>
      <c r="BL645" t="s">
        <v>130</v>
      </c>
      <c r="BM645">
        <v>1</v>
      </c>
      <c r="BN645">
        <v>0</v>
      </c>
      <c r="BO645">
        <v>0</v>
      </c>
      <c r="BP645">
        <v>0</v>
      </c>
      <c r="BT645">
        <v>0</v>
      </c>
      <c r="BU645">
        <v>0</v>
      </c>
      <c r="CE645" t="str">
        <f>"20:23:47.713"</f>
        <v>20:23:47.713</v>
      </c>
      <c r="CF645">
        <v>713090679</v>
      </c>
      <c r="CS645">
        <v>0</v>
      </c>
      <c r="CT645">
        <v>2</v>
      </c>
      <c r="CU645">
        <v>0</v>
      </c>
      <c r="CV645">
        <v>2</v>
      </c>
      <c r="CW645">
        <v>0</v>
      </c>
      <c r="CX645">
        <v>1</v>
      </c>
      <c r="CY645">
        <v>7</v>
      </c>
      <c r="CZ645" t="s">
        <v>131</v>
      </c>
      <c r="DA645">
        <v>116</v>
      </c>
      <c r="DB645">
        <v>3</v>
      </c>
      <c r="DC645" t="s">
        <v>132</v>
      </c>
      <c r="DD645" t="s">
        <v>133</v>
      </c>
      <c r="DG645">
        <v>8342999</v>
      </c>
      <c r="DI645">
        <v>0</v>
      </c>
      <c r="DJ645">
        <v>0</v>
      </c>
      <c r="DK645">
        <v>1</v>
      </c>
      <c r="DL645">
        <v>0</v>
      </c>
      <c r="DM645">
        <v>0</v>
      </c>
      <c r="DN645">
        <v>0</v>
      </c>
      <c r="DO645">
        <v>0</v>
      </c>
      <c r="DP645">
        <v>1</v>
      </c>
      <c r="DQ645">
        <v>0</v>
      </c>
      <c r="DR645">
        <v>0</v>
      </c>
      <c r="DS645">
        <v>0</v>
      </c>
    </row>
    <row r="646" spans="1:123" x14ac:dyDescent="0.25">
      <c r="A646" t="str">
        <f>"11/29/2023 20:23:49.696"</f>
        <v>11/29/2023 20:23:49.696</v>
      </c>
      <c r="C646" t="str">
        <f t="shared" si="76"/>
        <v>FFDF53C0</v>
      </c>
      <c r="D646" t="s">
        <v>123</v>
      </c>
      <c r="E646">
        <v>1</v>
      </c>
      <c r="F646">
        <v>1001</v>
      </c>
      <c r="G646" t="s">
        <v>134</v>
      </c>
      <c r="J646" t="s">
        <v>125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"20:23:49.102"</f>
        <v>20:23:49.102</v>
      </c>
      <c r="T646" t="str">
        <f>"20:23:47.502"</f>
        <v>20:23:47.502</v>
      </c>
      <c r="U646" t="str">
        <f t="shared" si="79"/>
        <v>AA0632</v>
      </c>
      <c r="V646">
        <v>0</v>
      </c>
      <c r="W646">
        <v>0</v>
      </c>
      <c r="X646">
        <v>2</v>
      </c>
      <c r="Y646">
        <v>0</v>
      </c>
      <c r="AA646">
        <v>0</v>
      </c>
      <c r="AB646">
        <v>9</v>
      </c>
      <c r="AC646">
        <v>3</v>
      </c>
      <c r="AD646">
        <v>0</v>
      </c>
      <c r="AE646">
        <v>10</v>
      </c>
      <c r="AF646" t="s">
        <v>126</v>
      </c>
      <c r="AG646">
        <v>0</v>
      </c>
      <c r="AH646">
        <v>0</v>
      </c>
      <c r="AI646">
        <v>2</v>
      </c>
      <c r="AJ646">
        <v>0</v>
      </c>
      <c r="AK646" t="s">
        <v>462</v>
      </c>
      <c r="AL646">
        <v>31.926033</v>
      </c>
      <c r="AM646" t="s">
        <v>463</v>
      </c>
      <c r="AN646">
        <v>-101.052074</v>
      </c>
      <c r="AQ646" t="s">
        <v>129</v>
      </c>
      <c r="AR646">
        <v>86</v>
      </c>
      <c r="AS646">
        <v>-25</v>
      </c>
      <c r="AT646">
        <v>640</v>
      </c>
      <c r="BB646" t="str">
        <f t="shared" si="80"/>
        <v>1200</v>
      </c>
      <c r="BC646">
        <v>1</v>
      </c>
      <c r="BD646" t="str">
        <f t="shared" si="74"/>
        <v xml:space="preserve">N745MB  </v>
      </c>
      <c r="BE646">
        <v>1</v>
      </c>
      <c r="BG646">
        <v>0</v>
      </c>
      <c r="BH646">
        <v>0</v>
      </c>
      <c r="BI646">
        <v>0</v>
      </c>
      <c r="BL646" t="s">
        <v>130</v>
      </c>
      <c r="BM646">
        <v>1</v>
      </c>
      <c r="BN646">
        <v>0</v>
      </c>
      <c r="BO646">
        <v>0</v>
      </c>
      <c r="BP646">
        <v>0</v>
      </c>
      <c r="BT646">
        <v>0</v>
      </c>
      <c r="BU646">
        <v>0</v>
      </c>
      <c r="CE646" t="str">
        <f>"20:23:49.105"</f>
        <v>20:23:49.105</v>
      </c>
      <c r="CF646">
        <v>105017775</v>
      </c>
      <c r="CS646">
        <v>0</v>
      </c>
      <c r="CT646">
        <v>2</v>
      </c>
      <c r="CU646">
        <v>0</v>
      </c>
      <c r="CV646">
        <v>2</v>
      </c>
      <c r="CW646">
        <v>0</v>
      </c>
      <c r="CX646">
        <v>1</v>
      </c>
      <c r="CY646">
        <v>7</v>
      </c>
      <c r="CZ646" t="s">
        <v>131</v>
      </c>
      <c r="DA646">
        <v>116</v>
      </c>
      <c r="DB646">
        <v>0</v>
      </c>
      <c r="DC646" t="s">
        <v>132</v>
      </c>
      <c r="DD646" t="s">
        <v>133</v>
      </c>
      <c r="DG646">
        <v>14565815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1</v>
      </c>
      <c r="DQ646">
        <v>0</v>
      </c>
      <c r="DR646">
        <v>0</v>
      </c>
      <c r="DS646">
        <v>0</v>
      </c>
    </row>
    <row r="647" spans="1:123" x14ac:dyDescent="0.25">
      <c r="A647" t="str">
        <f>"11/29/2023 20:23:49.696"</f>
        <v>11/29/2023 20:23:49.696</v>
      </c>
      <c r="C647" t="str">
        <f t="shared" si="76"/>
        <v>FFDF53C0</v>
      </c>
      <c r="D647" t="s">
        <v>123</v>
      </c>
      <c r="E647">
        <v>14</v>
      </c>
      <c r="F647">
        <v>1014</v>
      </c>
      <c r="G647" t="s">
        <v>124</v>
      </c>
      <c r="J647" t="s">
        <v>125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"20:23:49.102"</f>
        <v>20:23:49.102</v>
      </c>
      <c r="T647" t="str">
        <f>"20:23:47.502"</f>
        <v>20:23:47.502</v>
      </c>
      <c r="U647" t="str">
        <f t="shared" si="79"/>
        <v>AA0632</v>
      </c>
      <c r="V647">
        <v>0</v>
      </c>
      <c r="W647">
        <v>0</v>
      </c>
      <c r="X647">
        <v>2</v>
      </c>
      <c r="Y647">
        <v>0</v>
      </c>
      <c r="AA647">
        <v>0</v>
      </c>
      <c r="AB647">
        <v>9</v>
      </c>
      <c r="AC647">
        <v>3</v>
      </c>
      <c r="AD647">
        <v>0</v>
      </c>
      <c r="AE647">
        <v>10</v>
      </c>
      <c r="AF647" t="s">
        <v>126</v>
      </c>
      <c r="AG647">
        <v>0</v>
      </c>
      <c r="AH647">
        <v>0</v>
      </c>
      <c r="AI647">
        <v>2</v>
      </c>
      <c r="AJ647">
        <v>0</v>
      </c>
      <c r="AK647" t="s">
        <v>462</v>
      </c>
      <c r="AL647">
        <v>31.926033</v>
      </c>
      <c r="AM647" t="s">
        <v>463</v>
      </c>
      <c r="AN647">
        <v>-101.052074</v>
      </c>
      <c r="AQ647" t="s">
        <v>129</v>
      </c>
      <c r="AR647">
        <v>86</v>
      </c>
      <c r="AS647">
        <v>-25</v>
      </c>
      <c r="AT647">
        <v>640</v>
      </c>
      <c r="BB647" t="str">
        <f t="shared" si="80"/>
        <v>1200</v>
      </c>
      <c r="BC647">
        <v>1</v>
      </c>
      <c r="BD647" t="str">
        <f t="shared" si="74"/>
        <v xml:space="preserve">N745MB  </v>
      </c>
      <c r="BE647">
        <v>1</v>
      </c>
      <c r="BG647">
        <v>0</v>
      </c>
      <c r="BH647">
        <v>0</v>
      </c>
      <c r="BI647">
        <v>0</v>
      </c>
      <c r="BL647" t="s">
        <v>130</v>
      </c>
      <c r="BM647">
        <v>1</v>
      </c>
      <c r="BN647">
        <v>0</v>
      </c>
      <c r="BO647">
        <v>0</v>
      </c>
      <c r="BP647">
        <v>0</v>
      </c>
      <c r="BT647">
        <v>0</v>
      </c>
      <c r="BU647">
        <v>0</v>
      </c>
      <c r="CE647" t="str">
        <f>"20:23:49.105"</f>
        <v>20:23:49.105</v>
      </c>
      <c r="CF647">
        <v>105017775</v>
      </c>
      <c r="CS647">
        <v>0</v>
      </c>
      <c r="CT647">
        <v>2</v>
      </c>
      <c r="CU647">
        <v>0</v>
      </c>
      <c r="CV647">
        <v>2</v>
      </c>
      <c r="CW647">
        <v>0</v>
      </c>
      <c r="CX647">
        <v>1</v>
      </c>
      <c r="CY647">
        <v>7</v>
      </c>
      <c r="CZ647" t="s">
        <v>131</v>
      </c>
      <c r="DA647">
        <v>116</v>
      </c>
      <c r="DB647">
        <v>0</v>
      </c>
      <c r="DC647" t="s">
        <v>132</v>
      </c>
      <c r="DD647" t="s">
        <v>133</v>
      </c>
      <c r="DG647">
        <v>14565815</v>
      </c>
      <c r="DI647">
        <v>0</v>
      </c>
      <c r="DJ647">
        <v>0</v>
      </c>
      <c r="DK647">
        <v>1</v>
      </c>
      <c r="DL647">
        <v>0</v>
      </c>
      <c r="DM647">
        <v>0</v>
      </c>
      <c r="DN647">
        <v>0</v>
      </c>
      <c r="DO647">
        <v>0</v>
      </c>
      <c r="DP647">
        <v>1</v>
      </c>
      <c r="DQ647">
        <v>0</v>
      </c>
      <c r="DR647">
        <v>0</v>
      </c>
      <c r="DS647">
        <v>0</v>
      </c>
    </row>
    <row r="648" spans="1:123" x14ac:dyDescent="0.25">
      <c r="A648" t="str">
        <f>"11/29/2023 20:23:49.696"</f>
        <v>11/29/2023 20:23:49.696</v>
      </c>
      <c r="C648" t="str">
        <f t="shared" si="76"/>
        <v>FFDF53C0</v>
      </c>
      <c r="D648" t="s">
        <v>135</v>
      </c>
      <c r="E648">
        <v>31</v>
      </c>
      <c r="H648">
        <v>285</v>
      </c>
      <c r="I648" t="s">
        <v>136</v>
      </c>
      <c r="J648" t="s">
        <v>137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"20:23:49.102"</f>
        <v>20:23:49.102</v>
      </c>
      <c r="T648" t="str">
        <f>"20:23:47.502"</f>
        <v>20:23:47.502</v>
      </c>
      <c r="U648" t="str">
        <f t="shared" si="79"/>
        <v>AA0632</v>
      </c>
      <c r="V648">
        <v>0</v>
      </c>
      <c r="W648">
        <v>0</v>
      </c>
      <c r="X648">
        <v>2</v>
      </c>
      <c r="Y648">
        <v>0</v>
      </c>
      <c r="AA648">
        <v>0</v>
      </c>
      <c r="AB648">
        <v>9</v>
      </c>
      <c r="AC648">
        <v>3</v>
      </c>
      <c r="AD648">
        <v>0</v>
      </c>
      <c r="AE648">
        <v>10</v>
      </c>
      <c r="AF648" t="s">
        <v>126</v>
      </c>
      <c r="AG648">
        <v>0</v>
      </c>
      <c r="AH648">
        <v>0</v>
      </c>
      <c r="AI648">
        <v>2</v>
      </c>
      <c r="AJ648">
        <v>0</v>
      </c>
      <c r="AK648" t="s">
        <v>462</v>
      </c>
      <c r="AL648">
        <v>31.926033</v>
      </c>
      <c r="AM648" t="s">
        <v>463</v>
      </c>
      <c r="AN648">
        <v>-101.052074</v>
      </c>
      <c r="AQ648" t="s">
        <v>129</v>
      </c>
      <c r="AR648">
        <v>86</v>
      </c>
      <c r="AS648">
        <v>-25</v>
      </c>
      <c r="AT648">
        <v>640</v>
      </c>
      <c r="BB648" t="str">
        <f t="shared" si="80"/>
        <v>1200</v>
      </c>
      <c r="BC648">
        <v>1</v>
      </c>
      <c r="BD648" t="str">
        <f t="shared" si="74"/>
        <v xml:space="preserve">N745MB  </v>
      </c>
      <c r="BE648">
        <v>1</v>
      </c>
      <c r="BG648">
        <v>0</v>
      </c>
      <c r="BH648">
        <v>0</v>
      </c>
      <c r="BI648">
        <v>0</v>
      </c>
      <c r="BL648" t="s">
        <v>130</v>
      </c>
      <c r="BM648">
        <v>1</v>
      </c>
      <c r="BN648">
        <v>0</v>
      </c>
      <c r="BO648">
        <v>0</v>
      </c>
      <c r="BP648">
        <v>0</v>
      </c>
      <c r="BT648">
        <v>0</v>
      </c>
      <c r="BU648">
        <v>0</v>
      </c>
      <c r="CE648" t="str">
        <f>"20:23:49.105"</f>
        <v>20:23:49.105</v>
      </c>
      <c r="CF648">
        <v>105017775</v>
      </c>
      <c r="CS648">
        <v>0</v>
      </c>
      <c r="CT648">
        <v>2</v>
      </c>
      <c r="CU648">
        <v>0</v>
      </c>
      <c r="CV648">
        <v>2</v>
      </c>
      <c r="CW648">
        <v>0</v>
      </c>
      <c r="CX648">
        <v>1</v>
      </c>
      <c r="CY648">
        <v>7</v>
      </c>
      <c r="CZ648" t="s">
        <v>131</v>
      </c>
      <c r="DA648">
        <v>116</v>
      </c>
      <c r="DB648">
        <v>0</v>
      </c>
      <c r="DC648" t="s">
        <v>132</v>
      </c>
      <c r="DD648" t="s">
        <v>133</v>
      </c>
      <c r="DG648">
        <v>14565815</v>
      </c>
      <c r="DI648">
        <v>0</v>
      </c>
      <c r="DJ648">
        <v>0</v>
      </c>
      <c r="DK648">
        <v>1</v>
      </c>
      <c r="DL648">
        <v>0</v>
      </c>
      <c r="DM648">
        <v>0</v>
      </c>
      <c r="DN648">
        <v>0</v>
      </c>
      <c r="DO648">
        <v>0</v>
      </c>
      <c r="DP648">
        <v>1</v>
      </c>
      <c r="DQ648">
        <v>0</v>
      </c>
      <c r="DR648">
        <v>0</v>
      </c>
      <c r="DS648">
        <v>0</v>
      </c>
    </row>
    <row r="649" spans="1:123" x14ac:dyDescent="0.25">
      <c r="A649" t="str">
        <f>"11/29/2023 20:23:49.696"</f>
        <v>11/29/2023 20:23:49.696</v>
      </c>
      <c r="C649" t="str">
        <f t="shared" si="76"/>
        <v>FFDF53C0</v>
      </c>
      <c r="D649" t="s">
        <v>138</v>
      </c>
      <c r="E649">
        <v>3</v>
      </c>
      <c r="H649">
        <v>160</v>
      </c>
      <c r="I649" t="s">
        <v>124</v>
      </c>
      <c r="J649" t="s">
        <v>139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"20:23:49.102"</f>
        <v>20:23:49.102</v>
      </c>
      <c r="T649" t="str">
        <f>"20:23:47.502"</f>
        <v>20:23:47.502</v>
      </c>
      <c r="U649" t="str">
        <f t="shared" si="79"/>
        <v>AA0632</v>
      </c>
      <c r="V649">
        <v>0</v>
      </c>
      <c r="W649">
        <v>0</v>
      </c>
      <c r="X649">
        <v>2</v>
      </c>
      <c r="Y649">
        <v>0</v>
      </c>
      <c r="AA649">
        <v>0</v>
      </c>
      <c r="AB649">
        <v>9</v>
      </c>
      <c r="AC649">
        <v>3</v>
      </c>
      <c r="AD649">
        <v>0</v>
      </c>
      <c r="AE649">
        <v>10</v>
      </c>
      <c r="AF649" t="s">
        <v>126</v>
      </c>
      <c r="AG649">
        <v>0</v>
      </c>
      <c r="AH649">
        <v>0</v>
      </c>
      <c r="AI649">
        <v>2</v>
      </c>
      <c r="AJ649">
        <v>0</v>
      </c>
      <c r="AK649" t="s">
        <v>462</v>
      </c>
      <c r="AL649">
        <v>31.926033</v>
      </c>
      <c r="AM649" t="s">
        <v>463</v>
      </c>
      <c r="AN649">
        <v>-101.052074</v>
      </c>
      <c r="AQ649" t="s">
        <v>129</v>
      </c>
      <c r="AR649">
        <v>86</v>
      </c>
      <c r="AS649">
        <v>-25</v>
      </c>
      <c r="AT649">
        <v>640</v>
      </c>
      <c r="BB649" t="str">
        <f t="shared" si="80"/>
        <v>1200</v>
      </c>
      <c r="BC649">
        <v>1</v>
      </c>
      <c r="BD649" t="str">
        <f t="shared" si="74"/>
        <v xml:space="preserve">N745MB  </v>
      </c>
      <c r="BE649">
        <v>1</v>
      </c>
      <c r="BG649">
        <v>0</v>
      </c>
      <c r="BH649">
        <v>0</v>
      </c>
      <c r="BI649">
        <v>0</v>
      </c>
      <c r="BL649" t="s">
        <v>130</v>
      </c>
      <c r="BM649">
        <v>1</v>
      </c>
      <c r="BN649">
        <v>0</v>
      </c>
      <c r="BO649">
        <v>0</v>
      </c>
      <c r="BP649">
        <v>0</v>
      </c>
      <c r="BT649">
        <v>0</v>
      </c>
      <c r="BU649">
        <v>0</v>
      </c>
      <c r="CE649" t="str">
        <f>"20:23:49.105"</f>
        <v>20:23:49.105</v>
      </c>
      <c r="CF649">
        <v>105017775</v>
      </c>
      <c r="CS649">
        <v>0</v>
      </c>
      <c r="CT649">
        <v>2</v>
      </c>
      <c r="CU649">
        <v>0</v>
      </c>
      <c r="CV649">
        <v>2</v>
      </c>
      <c r="CW649">
        <v>0</v>
      </c>
      <c r="CX649">
        <v>1</v>
      </c>
      <c r="CY649">
        <v>7</v>
      </c>
      <c r="CZ649" t="s">
        <v>131</v>
      </c>
      <c r="DA649">
        <v>116</v>
      </c>
      <c r="DB649">
        <v>0</v>
      </c>
      <c r="DC649" t="s">
        <v>132</v>
      </c>
      <c r="DD649" t="s">
        <v>133</v>
      </c>
      <c r="DG649">
        <v>14565815</v>
      </c>
      <c r="DI649">
        <v>0</v>
      </c>
      <c r="DJ649">
        <v>0</v>
      </c>
      <c r="DK649">
        <v>1</v>
      </c>
      <c r="DL649">
        <v>0</v>
      </c>
      <c r="DM649">
        <v>0</v>
      </c>
      <c r="DN649">
        <v>0</v>
      </c>
      <c r="DO649">
        <v>0</v>
      </c>
      <c r="DP649">
        <v>1</v>
      </c>
      <c r="DQ649">
        <v>0</v>
      </c>
      <c r="DR649">
        <v>0</v>
      </c>
      <c r="DS649">
        <v>0</v>
      </c>
    </row>
    <row r="650" spans="1:123" x14ac:dyDescent="0.25">
      <c r="A650" t="str">
        <f>"11/29/2023 20:23:50.742"</f>
        <v>11/29/2023 20:23:50.742</v>
      </c>
      <c r="C650" t="str">
        <f t="shared" si="76"/>
        <v>FFDF53C0</v>
      </c>
      <c r="D650" t="s">
        <v>123</v>
      </c>
      <c r="E650">
        <v>1</v>
      </c>
      <c r="F650">
        <v>1001</v>
      </c>
      <c r="G650" t="s">
        <v>134</v>
      </c>
      <c r="J650" t="s">
        <v>125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"20:23:50.102"</f>
        <v>20:23:50.102</v>
      </c>
      <c r="T650" t="str">
        <f>"20:23:49.702"</f>
        <v>20:23:49.702</v>
      </c>
      <c r="U650" t="str">
        <f t="shared" si="79"/>
        <v>AA0632</v>
      </c>
      <c r="V650">
        <v>0</v>
      </c>
      <c r="W650">
        <v>0</v>
      </c>
      <c r="X650">
        <v>2</v>
      </c>
      <c r="Y650">
        <v>0</v>
      </c>
      <c r="AA650">
        <v>0</v>
      </c>
      <c r="AB650">
        <v>9</v>
      </c>
      <c r="AC650">
        <v>3</v>
      </c>
      <c r="AD650">
        <v>0</v>
      </c>
      <c r="AE650">
        <v>10</v>
      </c>
      <c r="AF650" t="s">
        <v>126</v>
      </c>
      <c r="AG650">
        <v>0</v>
      </c>
      <c r="AH650">
        <v>0</v>
      </c>
      <c r="AI650">
        <v>2</v>
      </c>
      <c r="AJ650">
        <v>0</v>
      </c>
      <c r="AK650" t="s">
        <v>464</v>
      </c>
      <c r="AL650">
        <v>31.925948000000002</v>
      </c>
      <c r="AM650" t="s">
        <v>465</v>
      </c>
      <c r="AN650">
        <v>-101.051624</v>
      </c>
      <c r="AQ650" t="s">
        <v>129</v>
      </c>
      <c r="AR650">
        <v>84</v>
      </c>
      <c r="AS650">
        <v>-24</v>
      </c>
      <c r="AT650">
        <v>704</v>
      </c>
      <c r="BB650" t="str">
        <f t="shared" si="80"/>
        <v>1200</v>
      </c>
      <c r="BC650">
        <v>1</v>
      </c>
      <c r="BD650" t="str">
        <f t="shared" si="74"/>
        <v xml:space="preserve">N745MB  </v>
      </c>
      <c r="BE650">
        <v>1</v>
      </c>
      <c r="BG650">
        <v>0</v>
      </c>
      <c r="BH650">
        <v>0</v>
      </c>
      <c r="BI650">
        <v>0</v>
      </c>
      <c r="BL650" t="s">
        <v>130</v>
      </c>
      <c r="BM650">
        <v>1</v>
      </c>
      <c r="BN650">
        <v>0</v>
      </c>
      <c r="BO650">
        <v>0</v>
      </c>
      <c r="BP650">
        <v>0</v>
      </c>
      <c r="BT650">
        <v>0</v>
      </c>
      <c r="BU650">
        <v>0</v>
      </c>
      <c r="CE650" t="str">
        <f>"20:23:50.105"</f>
        <v>20:23:50.105</v>
      </c>
      <c r="CF650">
        <v>104931587</v>
      </c>
      <c r="CS650">
        <v>0</v>
      </c>
      <c r="CT650">
        <v>2</v>
      </c>
      <c r="CU650">
        <v>0</v>
      </c>
      <c r="CV650">
        <v>2</v>
      </c>
      <c r="CW650">
        <v>0</v>
      </c>
      <c r="CX650">
        <v>2</v>
      </c>
      <c r="CY650">
        <v>7</v>
      </c>
      <c r="CZ650" t="s">
        <v>131</v>
      </c>
      <c r="DA650">
        <v>116</v>
      </c>
      <c r="DB650">
        <v>0</v>
      </c>
      <c r="DC650" t="s">
        <v>132</v>
      </c>
      <c r="DD650" t="s">
        <v>133</v>
      </c>
      <c r="DG650">
        <v>14566620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1</v>
      </c>
      <c r="DQ650">
        <v>0</v>
      </c>
      <c r="DR650">
        <v>0</v>
      </c>
      <c r="DS650">
        <v>0</v>
      </c>
    </row>
    <row r="651" spans="1:123" x14ac:dyDescent="0.25">
      <c r="A651" t="str">
        <f>"11/29/2023 20:23:50.742"</f>
        <v>11/29/2023 20:23:50.742</v>
      </c>
      <c r="C651" t="str">
        <f t="shared" si="76"/>
        <v>FFDF53C0</v>
      </c>
      <c r="D651" t="s">
        <v>123</v>
      </c>
      <c r="E651">
        <v>14</v>
      </c>
      <c r="F651">
        <v>1014</v>
      </c>
      <c r="G651" t="s">
        <v>124</v>
      </c>
      <c r="J651" t="s">
        <v>125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"20:23:50.102"</f>
        <v>20:23:50.102</v>
      </c>
      <c r="T651" t="str">
        <f>"20:23:49.702"</f>
        <v>20:23:49.702</v>
      </c>
      <c r="U651" t="str">
        <f t="shared" si="79"/>
        <v>AA0632</v>
      </c>
      <c r="V651">
        <v>0</v>
      </c>
      <c r="W651">
        <v>0</v>
      </c>
      <c r="X651">
        <v>2</v>
      </c>
      <c r="Y651">
        <v>0</v>
      </c>
      <c r="AA651">
        <v>0</v>
      </c>
      <c r="AB651">
        <v>9</v>
      </c>
      <c r="AC651">
        <v>3</v>
      </c>
      <c r="AD651">
        <v>0</v>
      </c>
      <c r="AE651">
        <v>10</v>
      </c>
      <c r="AF651" t="s">
        <v>126</v>
      </c>
      <c r="AG651">
        <v>0</v>
      </c>
      <c r="AH651">
        <v>0</v>
      </c>
      <c r="AI651">
        <v>2</v>
      </c>
      <c r="AJ651">
        <v>0</v>
      </c>
      <c r="AK651" t="s">
        <v>464</v>
      </c>
      <c r="AL651">
        <v>31.925948000000002</v>
      </c>
      <c r="AM651" t="s">
        <v>465</v>
      </c>
      <c r="AN651">
        <v>-101.051624</v>
      </c>
      <c r="AQ651" t="s">
        <v>129</v>
      </c>
      <c r="AR651">
        <v>84</v>
      </c>
      <c r="AS651">
        <v>-24</v>
      </c>
      <c r="AT651">
        <v>704</v>
      </c>
      <c r="BB651" t="str">
        <f t="shared" si="80"/>
        <v>1200</v>
      </c>
      <c r="BC651">
        <v>1</v>
      </c>
      <c r="BD651" t="str">
        <f t="shared" si="74"/>
        <v xml:space="preserve">N745MB  </v>
      </c>
      <c r="BE651">
        <v>1</v>
      </c>
      <c r="BG651">
        <v>0</v>
      </c>
      <c r="BH651">
        <v>0</v>
      </c>
      <c r="BI651">
        <v>0</v>
      </c>
      <c r="BL651" t="s">
        <v>130</v>
      </c>
      <c r="BM651">
        <v>1</v>
      </c>
      <c r="BN651">
        <v>0</v>
      </c>
      <c r="BO651">
        <v>0</v>
      </c>
      <c r="BP651">
        <v>0</v>
      </c>
      <c r="BT651">
        <v>0</v>
      </c>
      <c r="BU651">
        <v>0</v>
      </c>
      <c r="CE651" t="str">
        <f>"20:23:50.105"</f>
        <v>20:23:50.105</v>
      </c>
      <c r="CF651">
        <v>104931587</v>
      </c>
      <c r="CS651">
        <v>0</v>
      </c>
      <c r="CT651">
        <v>2</v>
      </c>
      <c r="CU651">
        <v>0</v>
      </c>
      <c r="CV651">
        <v>2</v>
      </c>
      <c r="CW651">
        <v>0</v>
      </c>
      <c r="CX651">
        <v>2</v>
      </c>
      <c r="CY651">
        <v>7</v>
      </c>
      <c r="CZ651" t="s">
        <v>131</v>
      </c>
      <c r="DA651">
        <v>116</v>
      </c>
      <c r="DB651">
        <v>0</v>
      </c>
      <c r="DC651" t="s">
        <v>132</v>
      </c>
      <c r="DD651" t="s">
        <v>133</v>
      </c>
      <c r="DG651">
        <v>14566620</v>
      </c>
      <c r="DI651">
        <v>0</v>
      </c>
      <c r="DJ651">
        <v>0</v>
      </c>
      <c r="DK651">
        <v>1</v>
      </c>
      <c r="DL651">
        <v>0</v>
      </c>
      <c r="DM651">
        <v>0</v>
      </c>
      <c r="DN651">
        <v>0</v>
      </c>
      <c r="DO651">
        <v>0</v>
      </c>
      <c r="DP651">
        <v>1</v>
      </c>
      <c r="DQ651">
        <v>0</v>
      </c>
      <c r="DR651">
        <v>0</v>
      </c>
      <c r="DS651">
        <v>0</v>
      </c>
    </row>
    <row r="652" spans="1:123" x14ac:dyDescent="0.25">
      <c r="A652" t="str">
        <f>"11/29/2023 20:23:50.742"</f>
        <v>11/29/2023 20:23:50.742</v>
      </c>
      <c r="C652" t="str">
        <f t="shared" si="76"/>
        <v>FFDF53C0</v>
      </c>
      <c r="D652" t="s">
        <v>138</v>
      </c>
      <c r="E652">
        <v>3</v>
      </c>
      <c r="H652">
        <v>160</v>
      </c>
      <c r="I652" t="s">
        <v>124</v>
      </c>
      <c r="J652" t="s">
        <v>139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"20:23:50.102"</f>
        <v>20:23:50.102</v>
      </c>
      <c r="T652" t="str">
        <f>"20:23:49.702"</f>
        <v>20:23:49.702</v>
      </c>
      <c r="U652" t="str">
        <f t="shared" si="79"/>
        <v>AA0632</v>
      </c>
      <c r="V652">
        <v>0</v>
      </c>
      <c r="W652">
        <v>0</v>
      </c>
      <c r="X652">
        <v>2</v>
      </c>
      <c r="Y652">
        <v>0</v>
      </c>
      <c r="AA652">
        <v>0</v>
      </c>
      <c r="AB652">
        <v>9</v>
      </c>
      <c r="AC652">
        <v>3</v>
      </c>
      <c r="AD652">
        <v>0</v>
      </c>
      <c r="AE652">
        <v>10</v>
      </c>
      <c r="AF652" t="s">
        <v>126</v>
      </c>
      <c r="AG652">
        <v>0</v>
      </c>
      <c r="AH652">
        <v>0</v>
      </c>
      <c r="AI652">
        <v>2</v>
      </c>
      <c r="AJ652">
        <v>0</v>
      </c>
      <c r="AK652" t="s">
        <v>464</v>
      </c>
      <c r="AL652">
        <v>31.925948000000002</v>
      </c>
      <c r="AM652" t="s">
        <v>465</v>
      </c>
      <c r="AN652">
        <v>-101.051624</v>
      </c>
      <c r="AQ652" t="s">
        <v>129</v>
      </c>
      <c r="AR652">
        <v>84</v>
      </c>
      <c r="AS652">
        <v>-24</v>
      </c>
      <c r="AT652">
        <v>704</v>
      </c>
      <c r="BB652" t="str">
        <f t="shared" si="80"/>
        <v>1200</v>
      </c>
      <c r="BC652">
        <v>1</v>
      </c>
      <c r="BD652" t="str">
        <f t="shared" si="74"/>
        <v xml:space="preserve">N745MB  </v>
      </c>
      <c r="BE652">
        <v>1</v>
      </c>
      <c r="BG652">
        <v>0</v>
      </c>
      <c r="BH652">
        <v>0</v>
      </c>
      <c r="BI652">
        <v>0</v>
      </c>
      <c r="BL652" t="s">
        <v>130</v>
      </c>
      <c r="BM652">
        <v>1</v>
      </c>
      <c r="BN652">
        <v>0</v>
      </c>
      <c r="BO652">
        <v>0</v>
      </c>
      <c r="BP652">
        <v>0</v>
      </c>
      <c r="BT652">
        <v>0</v>
      </c>
      <c r="BU652">
        <v>0</v>
      </c>
      <c r="CE652" t="str">
        <f>"20:23:50.105"</f>
        <v>20:23:50.105</v>
      </c>
      <c r="CF652">
        <v>104931587</v>
      </c>
      <c r="CS652">
        <v>0</v>
      </c>
      <c r="CT652">
        <v>2</v>
      </c>
      <c r="CU652">
        <v>0</v>
      </c>
      <c r="CV652">
        <v>2</v>
      </c>
      <c r="CW652">
        <v>0</v>
      </c>
      <c r="CX652">
        <v>2</v>
      </c>
      <c r="CY652">
        <v>7</v>
      </c>
      <c r="CZ652" t="s">
        <v>131</v>
      </c>
      <c r="DA652">
        <v>116</v>
      </c>
      <c r="DB652">
        <v>0</v>
      </c>
      <c r="DC652" t="s">
        <v>132</v>
      </c>
      <c r="DD652" t="s">
        <v>133</v>
      </c>
      <c r="DG652">
        <v>14566620</v>
      </c>
      <c r="DI652">
        <v>0</v>
      </c>
      <c r="DJ652">
        <v>0</v>
      </c>
      <c r="DK652">
        <v>1</v>
      </c>
      <c r="DL652">
        <v>0</v>
      </c>
      <c r="DM652">
        <v>0</v>
      </c>
      <c r="DN652">
        <v>0</v>
      </c>
      <c r="DO652">
        <v>0</v>
      </c>
      <c r="DP652">
        <v>1</v>
      </c>
      <c r="DQ652">
        <v>0</v>
      </c>
      <c r="DR652">
        <v>0</v>
      </c>
      <c r="DS652">
        <v>0</v>
      </c>
    </row>
    <row r="653" spans="1:123" x14ac:dyDescent="0.25">
      <c r="A653" t="str">
        <f>"11/29/2023 20:23:50.758"</f>
        <v>11/29/2023 20:23:50.758</v>
      </c>
      <c r="C653" t="str">
        <f t="shared" si="76"/>
        <v>FFDF53C0</v>
      </c>
      <c r="D653" t="s">
        <v>135</v>
      </c>
      <c r="E653">
        <v>31</v>
      </c>
      <c r="H653">
        <v>285</v>
      </c>
      <c r="I653" t="s">
        <v>136</v>
      </c>
      <c r="J653" t="s">
        <v>137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"20:23:50.102"</f>
        <v>20:23:50.102</v>
      </c>
      <c r="T653" t="str">
        <f>"20:23:49.702"</f>
        <v>20:23:49.702</v>
      </c>
      <c r="U653" t="str">
        <f t="shared" si="79"/>
        <v>AA0632</v>
      </c>
      <c r="V653">
        <v>0</v>
      </c>
      <c r="W653">
        <v>0</v>
      </c>
      <c r="X653">
        <v>2</v>
      </c>
      <c r="Y653">
        <v>0</v>
      </c>
      <c r="AA653">
        <v>0</v>
      </c>
      <c r="AB653">
        <v>9</v>
      </c>
      <c r="AC653">
        <v>3</v>
      </c>
      <c r="AD653">
        <v>0</v>
      </c>
      <c r="AE653">
        <v>10</v>
      </c>
      <c r="AF653" t="s">
        <v>126</v>
      </c>
      <c r="AG653">
        <v>0</v>
      </c>
      <c r="AH653">
        <v>0</v>
      </c>
      <c r="AI653">
        <v>2</v>
      </c>
      <c r="AJ653">
        <v>0</v>
      </c>
      <c r="AK653" t="s">
        <v>464</v>
      </c>
      <c r="AL653">
        <v>31.925948000000002</v>
      </c>
      <c r="AM653" t="s">
        <v>465</v>
      </c>
      <c r="AN653">
        <v>-101.051624</v>
      </c>
      <c r="AQ653" t="s">
        <v>129</v>
      </c>
      <c r="AR653">
        <v>84</v>
      </c>
      <c r="AS653">
        <v>-24</v>
      </c>
      <c r="AT653">
        <v>704</v>
      </c>
      <c r="BB653" t="str">
        <f t="shared" si="80"/>
        <v>1200</v>
      </c>
      <c r="BC653">
        <v>1</v>
      </c>
      <c r="BD653" t="str">
        <f t="shared" si="74"/>
        <v xml:space="preserve">N745MB  </v>
      </c>
      <c r="BE653">
        <v>1</v>
      </c>
      <c r="BG653">
        <v>0</v>
      </c>
      <c r="BH653">
        <v>0</v>
      </c>
      <c r="BI653">
        <v>0</v>
      </c>
      <c r="BL653" t="s">
        <v>130</v>
      </c>
      <c r="BM653">
        <v>1</v>
      </c>
      <c r="BN653">
        <v>0</v>
      </c>
      <c r="BO653">
        <v>0</v>
      </c>
      <c r="BP653">
        <v>0</v>
      </c>
      <c r="BT653">
        <v>0</v>
      </c>
      <c r="BU653">
        <v>0</v>
      </c>
      <c r="CE653" t="str">
        <f>"20:23:50.105"</f>
        <v>20:23:50.105</v>
      </c>
      <c r="CF653">
        <v>104931587</v>
      </c>
      <c r="CS653">
        <v>0</v>
      </c>
      <c r="CT653">
        <v>2</v>
      </c>
      <c r="CU653">
        <v>0</v>
      </c>
      <c r="CV653">
        <v>2</v>
      </c>
      <c r="CW653">
        <v>0</v>
      </c>
      <c r="CX653">
        <v>2</v>
      </c>
      <c r="CY653">
        <v>7</v>
      </c>
      <c r="CZ653" t="s">
        <v>131</v>
      </c>
      <c r="DA653">
        <v>116</v>
      </c>
      <c r="DB653">
        <v>0</v>
      </c>
      <c r="DC653" t="s">
        <v>132</v>
      </c>
      <c r="DD653" t="s">
        <v>133</v>
      </c>
      <c r="DG653">
        <v>14566620</v>
      </c>
      <c r="DI653">
        <v>0</v>
      </c>
      <c r="DJ653">
        <v>0</v>
      </c>
      <c r="DK653">
        <v>1</v>
      </c>
      <c r="DL653">
        <v>0</v>
      </c>
      <c r="DM653">
        <v>0</v>
      </c>
      <c r="DN653">
        <v>0</v>
      </c>
      <c r="DO653">
        <v>0</v>
      </c>
      <c r="DP653">
        <v>1</v>
      </c>
      <c r="DQ653">
        <v>0</v>
      </c>
      <c r="DR653">
        <v>0</v>
      </c>
      <c r="DS653">
        <v>0</v>
      </c>
    </row>
    <row r="654" spans="1:123" x14ac:dyDescent="0.25">
      <c r="A654" t="str">
        <f>"11/29/2023 20:23:51.836"</f>
        <v>11/29/2023 20:23:51.836</v>
      </c>
      <c r="C654" t="str">
        <f t="shared" si="76"/>
        <v>FFDF53C0</v>
      </c>
      <c r="D654" t="s">
        <v>123</v>
      </c>
      <c r="E654">
        <v>1</v>
      </c>
      <c r="F654">
        <v>1001</v>
      </c>
      <c r="G654" t="s">
        <v>134</v>
      </c>
      <c r="J654" t="s">
        <v>125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"20:23:51.242"</f>
        <v>20:23:51.242</v>
      </c>
      <c r="T654" t="str">
        <f>"20:23:51.142"</f>
        <v>20:23:51.142</v>
      </c>
      <c r="U654" t="str">
        <f t="shared" si="79"/>
        <v>AA0632</v>
      </c>
      <c r="V654">
        <v>0</v>
      </c>
      <c r="W654">
        <v>0</v>
      </c>
      <c r="X654">
        <v>2</v>
      </c>
      <c r="Y654">
        <v>0</v>
      </c>
      <c r="AA654">
        <v>0</v>
      </c>
      <c r="AB654">
        <v>9</v>
      </c>
      <c r="AC654">
        <v>3</v>
      </c>
      <c r="AD654">
        <v>0</v>
      </c>
      <c r="AE654">
        <v>10</v>
      </c>
      <c r="AF654" t="s">
        <v>126</v>
      </c>
      <c r="AG654">
        <v>0</v>
      </c>
      <c r="AH654">
        <v>0</v>
      </c>
      <c r="AI654">
        <v>2</v>
      </c>
      <c r="AJ654">
        <v>0</v>
      </c>
      <c r="AK654" t="s">
        <v>466</v>
      </c>
      <c r="AL654">
        <v>31.925861999999999</v>
      </c>
      <c r="AM654" t="s">
        <v>467</v>
      </c>
      <c r="AN654">
        <v>-101.051152</v>
      </c>
      <c r="AQ654" t="s">
        <v>129</v>
      </c>
      <c r="AR654">
        <v>85</v>
      </c>
      <c r="AS654">
        <v>-21</v>
      </c>
      <c r="AT654">
        <v>640</v>
      </c>
      <c r="BB654" t="str">
        <f t="shared" si="80"/>
        <v>1200</v>
      </c>
      <c r="BC654">
        <v>1</v>
      </c>
      <c r="BD654" t="str">
        <f t="shared" si="74"/>
        <v xml:space="preserve">N745MB  </v>
      </c>
      <c r="BE654">
        <v>1</v>
      </c>
      <c r="BG654">
        <v>0</v>
      </c>
      <c r="BH654">
        <v>0</v>
      </c>
      <c r="BI654">
        <v>0</v>
      </c>
      <c r="BL654" t="s">
        <v>130</v>
      </c>
      <c r="BM654">
        <v>1</v>
      </c>
      <c r="BN654">
        <v>0</v>
      </c>
      <c r="BO654">
        <v>0</v>
      </c>
      <c r="BP654">
        <v>0</v>
      </c>
      <c r="BT654">
        <v>0</v>
      </c>
      <c r="BU654">
        <v>0</v>
      </c>
      <c r="CE654" t="str">
        <f>"20:23:51.247"</f>
        <v>20:23:51.247</v>
      </c>
      <c r="CF654">
        <v>246854556</v>
      </c>
      <c r="CS654">
        <v>0</v>
      </c>
      <c r="CT654">
        <v>2</v>
      </c>
      <c r="CU654">
        <v>0</v>
      </c>
      <c r="CV654">
        <v>2</v>
      </c>
      <c r="CW654">
        <v>0</v>
      </c>
      <c r="CX654">
        <v>1</v>
      </c>
      <c r="CY654">
        <v>7</v>
      </c>
      <c r="CZ654" t="s">
        <v>131</v>
      </c>
      <c r="DA654">
        <v>116</v>
      </c>
      <c r="DB654">
        <v>0</v>
      </c>
      <c r="DC654" t="s">
        <v>132</v>
      </c>
      <c r="DD654" t="s">
        <v>133</v>
      </c>
      <c r="DG654">
        <v>14567587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1</v>
      </c>
      <c r="DQ654">
        <v>0</v>
      </c>
      <c r="DR654">
        <v>0</v>
      </c>
      <c r="DS654">
        <v>0</v>
      </c>
    </row>
    <row r="655" spans="1:123" x14ac:dyDescent="0.25">
      <c r="A655" t="str">
        <f>"11/29/2023 20:23:51.836"</f>
        <v>11/29/2023 20:23:51.836</v>
      </c>
      <c r="C655" t="str">
        <f t="shared" si="76"/>
        <v>FFDF53C0</v>
      </c>
      <c r="D655" t="s">
        <v>123</v>
      </c>
      <c r="E655">
        <v>14</v>
      </c>
      <c r="F655">
        <v>1014</v>
      </c>
      <c r="G655" t="s">
        <v>124</v>
      </c>
      <c r="J655" t="s">
        <v>125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"20:23:51.242"</f>
        <v>20:23:51.242</v>
      </c>
      <c r="T655" t="str">
        <f>"20:23:51.142"</f>
        <v>20:23:51.142</v>
      </c>
      <c r="U655" t="str">
        <f t="shared" si="79"/>
        <v>AA0632</v>
      </c>
      <c r="V655">
        <v>0</v>
      </c>
      <c r="W655">
        <v>0</v>
      </c>
      <c r="X655">
        <v>2</v>
      </c>
      <c r="Y655">
        <v>0</v>
      </c>
      <c r="AA655">
        <v>0</v>
      </c>
      <c r="AB655">
        <v>9</v>
      </c>
      <c r="AC655">
        <v>3</v>
      </c>
      <c r="AD655">
        <v>0</v>
      </c>
      <c r="AE655">
        <v>10</v>
      </c>
      <c r="AF655" t="s">
        <v>126</v>
      </c>
      <c r="AG655">
        <v>0</v>
      </c>
      <c r="AH655">
        <v>0</v>
      </c>
      <c r="AI655">
        <v>2</v>
      </c>
      <c r="AJ655">
        <v>0</v>
      </c>
      <c r="AK655" t="s">
        <v>466</v>
      </c>
      <c r="AL655">
        <v>31.925861999999999</v>
      </c>
      <c r="AM655" t="s">
        <v>467</v>
      </c>
      <c r="AN655">
        <v>-101.051152</v>
      </c>
      <c r="AQ655" t="s">
        <v>129</v>
      </c>
      <c r="AR655">
        <v>85</v>
      </c>
      <c r="AS655">
        <v>-21</v>
      </c>
      <c r="AT655">
        <v>640</v>
      </c>
      <c r="BB655" t="str">
        <f t="shared" si="80"/>
        <v>1200</v>
      </c>
      <c r="BC655">
        <v>1</v>
      </c>
      <c r="BD655" t="str">
        <f t="shared" si="74"/>
        <v xml:space="preserve">N745MB  </v>
      </c>
      <c r="BE655">
        <v>1</v>
      </c>
      <c r="BG655">
        <v>0</v>
      </c>
      <c r="BH655">
        <v>0</v>
      </c>
      <c r="BI655">
        <v>0</v>
      </c>
      <c r="BL655" t="s">
        <v>130</v>
      </c>
      <c r="BM655">
        <v>1</v>
      </c>
      <c r="BN655">
        <v>0</v>
      </c>
      <c r="BO655">
        <v>0</v>
      </c>
      <c r="BP655">
        <v>0</v>
      </c>
      <c r="BT655">
        <v>0</v>
      </c>
      <c r="BU655">
        <v>0</v>
      </c>
      <c r="CE655" t="str">
        <f>"20:23:51.247"</f>
        <v>20:23:51.247</v>
      </c>
      <c r="CF655">
        <v>246854556</v>
      </c>
      <c r="CS655">
        <v>0</v>
      </c>
      <c r="CT655">
        <v>2</v>
      </c>
      <c r="CU655">
        <v>0</v>
      </c>
      <c r="CV655">
        <v>2</v>
      </c>
      <c r="CW655">
        <v>0</v>
      </c>
      <c r="CX655">
        <v>1</v>
      </c>
      <c r="CY655">
        <v>7</v>
      </c>
      <c r="CZ655" t="s">
        <v>131</v>
      </c>
      <c r="DA655">
        <v>116</v>
      </c>
      <c r="DB655">
        <v>0</v>
      </c>
      <c r="DC655" t="s">
        <v>132</v>
      </c>
      <c r="DD655" t="s">
        <v>133</v>
      </c>
      <c r="DG655">
        <v>14567587</v>
      </c>
      <c r="DI655">
        <v>0</v>
      </c>
      <c r="DJ655">
        <v>0</v>
      </c>
      <c r="DK655">
        <v>1</v>
      </c>
      <c r="DL655">
        <v>0</v>
      </c>
      <c r="DM655">
        <v>0</v>
      </c>
      <c r="DN655">
        <v>0</v>
      </c>
      <c r="DO655">
        <v>0</v>
      </c>
      <c r="DP655">
        <v>1</v>
      </c>
      <c r="DQ655">
        <v>0</v>
      </c>
      <c r="DR655">
        <v>0</v>
      </c>
      <c r="DS655">
        <v>0</v>
      </c>
    </row>
    <row r="656" spans="1:123" x14ac:dyDescent="0.25">
      <c r="A656" t="str">
        <f>"11/29/2023 20:23:51.836"</f>
        <v>11/29/2023 20:23:51.836</v>
      </c>
      <c r="C656" t="str">
        <f t="shared" si="76"/>
        <v>FFDF53C0</v>
      </c>
      <c r="D656" t="s">
        <v>138</v>
      </c>
      <c r="E656">
        <v>3</v>
      </c>
      <c r="H656">
        <v>160</v>
      </c>
      <c r="I656" t="s">
        <v>124</v>
      </c>
      <c r="J656" t="s">
        <v>139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"20:23:51.242"</f>
        <v>20:23:51.242</v>
      </c>
      <c r="T656" t="str">
        <f>"20:23:51.142"</f>
        <v>20:23:51.142</v>
      </c>
      <c r="U656" t="str">
        <f t="shared" si="79"/>
        <v>AA0632</v>
      </c>
      <c r="V656">
        <v>0</v>
      </c>
      <c r="W656">
        <v>0</v>
      </c>
      <c r="X656">
        <v>2</v>
      </c>
      <c r="Y656">
        <v>0</v>
      </c>
      <c r="AA656">
        <v>0</v>
      </c>
      <c r="AB656">
        <v>9</v>
      </c>
      <c r="AC656">
        <v>3</v>
      </c>
      <c r="AD656">
        <v>0</v>
      </c>
      <c r="AE656">
        <v>10</v>
      </c>
      <c r="AF656" t="s">
        <v>126</v>
      </c>
      <c r="AG656">
        <v>0</v>
      </c>
      <c r="AH656">
        <v>0</v>
      </c>
      <c r="AI656">
        <v>2</v>
      </c>
      <c r="AJ656">
        <v>0</v>
      </c>
      <c r="AK656" t="s">
        <v>466</v>
      </c>
      <c r="AL656">
        <v>31.925861999999999</v>
      </c>
      <c r="AM656" t="s">
        <v>467</v>
      </c>
      <c r="AN656">
        <v>-101.051152</v>
      </c>
      <c r="AQ656" t="s">
        <v>129</v>
      </c>
      <c r="AR656">
        <v>85</v>
      </c>
      <c r="AS656">
        <v>-21</v>
      </c>
      <c r="AT656">
        <v>640</v>
      </c>
      <c r="BB656" t="str">
        <f t="shared" si="80"/>
        <v>1200</v>
      </c>
      <c r="BC656">
        <v>1</v>
      </c>
      <c r="BD656" t="str">
        <f t="shared" si="74"/>
        <v xml:space="preserve">N745MB  </v>
      </c>
      <c r="BE656">
        <v>1</v>
      </c>
      <c r="BG656">
        <v>0</v>
      </c>
      <c r="BH656">
        <v>0</v>
      </c>
      <c r="BI656">
        <v>0</v>
      </c>
      <c r="BL656" t="s">
        <v>130</v>
      </c>
      <c r="BM656">
        <v>1</v>
      </c>
      <c r="BN656">
        <v>0</v>
      </c>
      <c r="BO656">
        <v>0</v>
      </c>
      <c r="BP656">
        <v>0</v>
      </c>
      <c r="BT656">
        <v>0</v>
      </c>
      <c r="BU656">
        <v>0</v>
      </c>
      <c r="CE656" t="str">
        <f>"20:23:51.247"</f>
        <v>20:23:51.247</v>
      </c>
      <c r="CF656">
        <v>246854556</v>
      </c>
      <c r="CS656">
        <v>0</v>
      </c>
      <c r="CT656">
        <v>2</v>
      </c>
      <c r="CU656">
        <v>0</v>
      </c>
      <c r="CV656">
        <v>2</v>
      </c>
      <c r="CW656">
        <v>0</v>
      </c>
      <c r="CX656">
        <v>1</v>
      </c>
      <c r="CY656">
        <v>7</v>
      </c>
      <c r="CZ656" t="s">
        <v>131</v>
      </c>
      <c r="DA656">
        <v>116</v>
      </c>
      <c r="DB656">
        <v>0</v>
      </c>
      <c r="DC656" t="s">
        <v>132</v>
      </c>
      <c r="DD656" t="s">
        <v>133</v>
      </c>
      <c r="DG656">
        <v>14567587</v>
      </c>
      <c r="DI656">
        <v>0</v>
      </c>
      <c r="DJ656">
        <v>0</v>
      </c>
      <c r="DK656">
        <v>1</v>
      </c>
      <c r="DL656">
        <v>0</v>
      </c>
      <c r="DM656">
        <v>0</v>
      </c>
      <c r="DN656">
        <v>0</v>
      </c>
      <c r="DO656">
        <v>0</v>
      </c>
      <c r="DP656">
        <v>1</v>
      </c>
      <c r="DQ656">
        <v>0</v>
      </c>
      <c r="DR656">
        <v>0</v>
      </c>
      <c r="DS656">
        <v>0</v>
      </c>
    </row>
    <row r="657" spans="1:123" x14ac:dyDescent="0.25">
      <c r="A657" t="str">
        <f>"11/29/2023 20:23:51.836"</f>
        <v>11/29/2023 20:23:51.836</v>
      </c>
      <c r="C657" t="str">
        <f t="shared" si="76"/>
        <v>FFDF53C0</v>
      </c>
      <c r="D657" t="s">
        <v>135</v>
      </c>
      <c r="E657">
        <v>31</v>
      </c>
      <c r="H657">
        <v>285</v>
      </c>
      <c r="I657" t="s">
        <v>136</v>
      </c>
      <c r="J657" t="s">
        <v>137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"20:23:51.242"</f>
        <v>20:23:51.242</v>
      </c>
      <c r="T657" t="str">
        <f>"20:23:51.142"</f>
        <v>20:23:51.142</v>
      </c>
      <c r="U657" t="str">
        <f t="shared" si="79"/>
        <v>AA0632</v>
      </c>
      <c r="V657">
        <v>0</v>
      </c>
      <c r="W657">
        <v>0</v>
      </c>
      <c r="X657">
        <v>2</v>
      </c>
      <c r="Y657">
        <v>0</v>
      </c>
      <c r="AA657">
        <v>0</v>
      </c>
      <c r="AB657">
        <v>9</v>
      </c>
      <c r="AC657">
        <v>3</v>
      </c>
      <c r="AD657">
        <v>0</v>
      </c>
      <c r="AE657">
        <v>10</v>
      </c>
      <c r="AF657" t="s">
        <v>126</v>
      </c>
      <c r="AG657">
        <v>0</v>
      </c>
      <c r="AH657">
        <v>0</v>
      </c>
      <c r="AI657">
        <v>2</v>
      </c>
      <c r="AJ657">
        <v>0</v>
      </c>
      <c r="AK657" t="s">
        <v>466</v>
      </c>
      <c r="AL657">
        <v>31.925861999999999</v>
      </c>
      <c r="AM657" t="s">
        <v>467</v>
      </c>
      <c r="AN657">
        <v>-101.051152</v>
      </c>
      <c r="AQ657" t="s">
        <v>129</v>
      </c>
      <c r="AR657">
        <v>85</v>
      </c>
      <c r="AS657">
        <v>-21</v>
      </c>
      <c r="AT657">
        <v>640</v>
      </c>
      <c r="BB657" t="str">
        <f t="shared" si="80"/>
        <v>1200</v>
      </c>
      <c r="BC657">
        <v>1</v>
      </c>
      <c r="BD657" t="str">
        <f t="shared" si="74"/>
        <v xml:space="preserve">N745MB  </v>
      </c>
      <c r="BE657">
        <v>1</v>
      </c>
      <c r="BG657">
        <v>0</v>
      </c>
      <c r="BH657">
        <v>0</v>
      </c>
      <c r="BI657">
        <v>0</v>
      </c>
      <c r="BL657" t="s">
        <v>130</v>
      </c>
      <c r="BM657">
        <v>1</v>
      </c>
      <c r="BN657">
        <v>0</v>
      </c>
      <c r="BO657">
        <v>0</v>
      </c>
      <c r="BP657">
        <v>0</v>
      </c>
      <c r="BT657">
        <v>0</v>
      </c>
      <c r="BU657">
        <v>0</v>
      </c>
      <c r="CE657" t="str">
        <f>"20:23:51.247"</f>
        <v>20:23:51.247</v>
      </c>
      <c r="CF657">
        <v>246854556</v>
      </c>
      <c r="CS657">
        <v>0</v>
      </c>
      <c r="CT657">
        <v>2</v>
      </c>
      <c r="CU657">
        <v>0</v>
      </c>
      <c r="CV657">
        <v>2</v>
      </c>
      <c r="CW657">
        <v>0</v>
      </c>
      <c r="CX657">
        <v>1</v>
      </c>
      <c r="CY657">
        <v>7</v>
      </c>
      <c r="CZ657" t="s">
        <v>131</v>
      </c>
      <c r="DA657">
        <v>116</v>
      </c>
      <c r="DB657">
        <v>0</v>
      </c>
      <c r="DC657" t="s">
        <v>132</v>
      </c>
      <c r="DD657" t="s">
        <v>133</v>
      </c>
      <c r="DG657">
        <v>14567587</v>
      </c>
      <c r="DI657">
        <v>0</v>
      </c>
      <c r="DJ657">
        <v>0</v>
      </c>
      <c r="DK657">
        <v>1</v>
      </c>
      <c r="DL657">
        <v>0</v>
      </c>
      <c r="DM657">
        <v>0</v>
      </c>
      <c r="DN657">
        <v>0</v>
      </c>
      <c r="DO657">
        <v>0</v>
      </c>
      <c r="DP657">
        <v>1</v>
      </c>
      <c r="DQ657">
        <v>0</v>
      </c>
      <c r="DR657">
        <v>0</v>
      </c>
      <c r="DS657">
        <v>0</v>
      </c>
    </row>
    <row r="658" spans="1:123" x14ac:dyDescent="0.25">
      <c r="A658" t="str">
        <f>"11/29/2023 20:23:52.899"</f>
        <v>11/29/2023 20:23:52.899</v>
      </c>
      <c r="C658" t="str">
        <f t="shared" si="76"/>
        <v>FFDF53C0</v>
      </c>
      <c r="D658" t="s">
        <v>138</v>
      </c>
      <c r="E658">
        <v>3</v>
      </c>
      <c r="H658">
        <v>160</v>
      </c>
      <c r="I658" t="s">
        <v>124</v>
      </c>
      <c r="J658" t="s">
        <v>139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"20:23:52.477"</f>
        <v>20:23:52.477</v>
      </c>
      <c r="T658" t="str">
        <f>"20:23:51.677"</f>
        <v>20:23:51.677</v>
      </c>
      <c r="U658" t="str">
        <f t="shared" si="79"/>
        <v>AA0632</v>
      </c>
      <c r="V658">
        <v>0</v>
      </c>
      <c r="W658">
        <v>0</v>
      </c>
      <c r="X658">
        <v>2</v>
      </c>
      <c r="Y658">
        <v>0</v>
      </c>
      <c r="AA658">
        <v>0</v>
      </c>
      <c r="AB658">
        <v>9</v>
      </c>
      <c r="AC658">
        <v>3</v>
      </c>
      <c r="AD658">
        <v>0</v>
      </c>
      <c r="AE658">
        <v>10</v>
      </c>
      <c r="AF658" t="s">
        <v>126</v>
      </c>
      <c r="AG658">
        <v>0</v>
      </c>
      <c r="AH658">
        <v>0</v>
      </c>
      <c r="AI658">
        <v>2</v>
      </c>
      <c r="AJ658">
        <v>0</v>
      </c>
      <c r="AK658" t="s">
        <v>468</v>
      </c>
      <c r="AL658">
        <v>31.925712000000001</v>
      </c>
      <c r="AM658" t="s">
        <v>469</v>
      </c>
      <c r="AN658">
        <v>-101.050551</v>
      </c>
      <c r="AQ658" t="s">
        <v>129</v>
      </c>
      <c r="AR658">
        <v>85</v>
      </c>
      <c r="AS658">
        <v>-20</v>
      </c>
      <c r="AT658">
        <v>448</v>
      </c>
      <c r="BB658" t="str">
        <f t="shared" si="80"/>
        <v>1200</v>
      </c>
      <c r="BC658">
        <v>1</v>
      </c>
      <c r="BD658" t="str">
        <f t="shared" ref="BD658:BD721" si="81">"N745MB  "</f>
        <v xml:space="preserve">N745MB  </v>
      </c>
      <c r="BE658">
        <v>1</v>
      </c>
      <c r="BG658">
        <v>0</v>
      </c>
      <c r="BH658">
        <v>0</v>
      </c>
      <c r="BI658">
        <v>0</v>
      </c>
      <c r="BL658" t="s">
        <v>130</v>
      </c>
      <c r="BM658">
        <v>1</v>
      </c>
      <c r="BN658">
        <v>0</v>
      </c>
      <c r="BO658">
        <v>0</v>
      </c>
      <c r="BP658">
        <v>0</v>
      </c>
      <c r="BT658">
        <v>0</v>
      </c>
      <c r="BU658">
        <v>0</v>
      </c>
      <c r="CE658" t="str">
        <f>"20:23:52.481"</f>
        <v>20:23:52.481</v>
      </c>
      <c r="CF658">
        <v>480769245</v>
      </c>
      <c r="CS658">
        <v>0</v>
      </c>
      <c r="CT658">
        <v>2</v>
      </c>
      <c r="CU658">
        <v>0</v>
      </c>
      <c r="CV658">
        <v>2</v>
      </c>
      <c r="CW658">
        <v>0</v>
      </c>
      <c r="CX658">
        <v>3</v>
      </c>
      <c r="CY658">
        <v>7</v>
      </c>
      <c r="CZ658" t="s">
        <v>131</v>
      </c>
      <c r="DA658">
        <v>116</v>
      </c>
      <c r="DB658">
        <v>3</v>
      </c>
      <c r="DC658" t="s">
        <v>132</v>
      </c>
      <c r="DD658" t="s">
        <v>133</v>
      </c>
      <c r="DG658">
        <v>8345600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1</v>
      </c>
      <c r="DQ658">
        <v>0</v>
      </c>
      <c r="DR658">
        <v>0</v>
      </c>
      <c r="DS658">
        <v>0</v>
      </c>
    </row>
    <row r="659" spans="1:123" x14ac:dyDescent="0.25">
      <c r="A659" t="str">
        <f>"11/29/2023 20:23:52.914"</f>
        <v>11/29/2023 20:23:52.914</v>
      </c>
      <c r="C659" t="str">
        <f t="shared" si="76"/>
        <v>FFDF53C0</v>
      </c>
      <c r="D659" t="s">
        <v>135</v>
      </c>
      <c r="E659">
        <v>31</v>
      </c>
      <c r="H659">
        <v>285</v>
      </c>
      <c r="I659" t="s">
        <v>136</v>
      </c>
      <c r="J659" t="s">
        <v>137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"20:23:52.477"</f>
        <v>20:23:52.477</v>
      </c>
      <c r="T659" t="str">
        <f>"20:23:51.677"</f>
        <v>20:23:51.677</v>
      </c>
      <c r="U659" t="str">
        <f t="shared" si="79"/>
        <v>AA0632</v>
      </c>
      <c r="V659">
        <v>0</v>
      </c>
      <c r="W659">
        <v>0</v>
      </c>
      <c r="X659">
        <v>2</v>
      </c>
      <c r="Y659">
        <v>0</v>
      </c>
      <c r="AA659">
        <v>0</v>
      </c>
      <c r="AB659">
        <v>9</v>
      </c>
      <c r="AC659">
        <v>3</v>
      </c>
      <c r="AD659">
        <v>0</v>
      </c>
      <c r="AE659">
        <v>10</v>
      </c>
      <c r="AF659" t="s">
        <v>126</v>
      </c>
      <c r="AG659">
        <v>0</v>
      </c>
      <c r="AH659">
        <v>0</v>
      </c>
      <c r="AI659">
        <v>2</v>
      </c>
      <c r="AJ659">
        <v>0</v>
      </c>
      <c r="AK659" t="s">
        <v>468</v>
      </c>
      <c r="AL659">
        <v>31.925712000000001</v>
      </c>
      <c r="AM659" t="s">
        <v>469</v>
      </c>
      <c r="AN659">
        <v>-101.050551</v>
      </c>
      <c r="AQ659" t="s">
        <v>129</v>
      </c>
      <c r="AR659">
        <v>85</v>
      </c>
      <c r="AS659">
        <v>-20</v>
      </c>
      <c r="AT659">
        <v>448</v>
      </c>
      <c r="BB659" t="str">
        <f t="shared" si="80"/>
        <v>1200</v>
      </c>
      <c r="BC659">
        <v>1</v>
      </c>
      <c r="BD659" t="str">
        <f t="shared" si="81"/>
        <v xml:space="preserve">N745MB  </v>
      </c>
      <c r="BE659">
        <v>1</v>
      </c>
      <c r="BG659">
        <v>0</v>
      </c>
      <c r="BH659">
        <v>0</v>
      </c>
      <c r="BI659">
        <v>0</v>
      </c>
      <c r="BL659" t="s">
        <v>130</v>
      </c>
      <c r="BM659">
        <v>1</v>
      </c>
      <c r="BN659">
        <v>0</v>
      </c>
      <c r="BO659">
        <v>0</v>
      </c>
      <c r="BP659">
        <v>0</v>
      </c>
      <c r="BT659">
        <v>0</v>
      </c>
      <c r="BU659">
        <v>0</v>
      </c>
      <c r="CE659" t="str">
        <f>"20:23:52.481"</f>
        <v>20:23:52.481</v>
      </c>
      <c r="CF659">
        <v>480769245</v>
      </c>
      <c r="CS659">
        <v>0</v>
      </c>
      <c r="CT659">
        <v>2</v>
      </c>
      <c r="CU659">
        <v>0</v>
      </c>
      <c r="CV659">
        <v>2</v>
      </c>
      <c r="CW659">
        <v>0</v>
      </c>
      <c r="CX659">
        <v>3</v>
      </c>
      <c r="CY659">
        <v>7</v>
      </c>
      <c r="CZ659" t="s">
        <v>131</v>
      </c>
      <c r="DA659">
        <v>116</v>
      </c>
      <c r="DB659">
        <v>3</v>
      </c>
      <c r="DC659" t="s">
        <v>132</v>
      </c>
      <c r="DD659" t="s">
        <v>133</v>
      </c>
      <c r="DG659">
        <v>8345600</v>
      </c>
      <c r="DI659">
        <v>0</v>
      </c>
      <c r="DJ659">
        <v>0</v>
      </c>
      <c r="DK659">
        <v>1</v>
      </c>
      <c r="DL659">
        <v>0</v>
      </c>
      <c r="DM659">
        <v>0</v>
      </c>
      <c r="DN659">
        <v>0</v>
      </c>
      <c r="DO659">
        <v>0</v>
      </c>
      <c r="DP659">
        <v>1</v>
      </c>
      <c r="DQ659">
        <v>0</v>
      </c>
      <c r="DR659">
        <v>0</v>
      </c>
      <c r="DS659">
        <v>0</v>
      </c>
    </row>
    <row r="660" spans="1:123" x14ac:dyDescent="0.25">
      <c r="A660" t="str">
        <f>"11/29/2023 20:23:52.914"</f>
        <v>11/29/2023 20:23:52.914</v>
      </c>
      <c r="C660" t="str">
        <f t="shared" si="76"/>
        <v>FFDF53C0</v>
      </c>
      <c r="D660" t="s">
        <v>123</v>
      </c>
      <c r="E660">
        <v>14</v>
      </c>
      <c r="F660">
        <v>1014</v>
      </c>
      <c r="G660" t="s">
        <v>124</v>
      </c>
      <c r="J660" t="s">
        <v>125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"20:23:52.477"</f>
        <v>20:23:52.477</v>
      </c>
      <c r="T660" t="str">
        <f>"20:23:51.677"</f>
        <v>20:23:51.677</v>
      </c>
      <c r="U660" t="str">
        <f t="shared" si="79"/>
        <v>AA0632</v>
      </c>
      <c r="V660">
        <v>0</v>
      </c>
      <c r="W660">
        <v>0</v>
      </c>
      <c r="X660">
        <v>2</v>
      </c>
      <c r="Y660">
        <v>0</v>
      </c>
      <c r="AA660">
        <v>0</v>
      </c>
      <c r="AB660">
        <v>9</v>
      </c>
      <c r="AC660">
        <v>3</v>
      </c>
      <c r="AD660">
        <v>0</v>
      </c>
      <c r="AE660">
        <v>10</v>
      </c>
      <c r="AF660" t="s">
        <v>126</v>
      </c>
      <c r="AG660">
        <v>0</v>
      </c>
      <c r="AH660">
        <v>0</v>
      </c>
      <c r="AI660">
        <v>2</v>
      </c>
      <c r="AJ660">
        <v>0</v>
      </c>
      <c r="AK660" t="s">
        <v>468</v>
      </c>
      <c r="AL660">
        <v>31.925712000000001</v>
      </c>
      <c r="AM660" t="s">
        <v>469</v>
      </c>
      <c r="AN660">
        <v>-101.050551</v>
      </c>
      <c r="AQ660" t="s">
        <v>129</v>
      </c>
      <c r="AR660">
        <v>85</v>
      </c>
      <c r="AS660">
        <v>-20</v>
      </c>
      <c r="AT660">
        <v>448</v>
      </c>
      <c r="BB660" t="str">
        <f t="shared" si="80"/>
        <v>1200</v>
      </c>
      <c r="BC660">
        <v>1</v>
      </c>
      <c r="BD660" t="str">
        <f t="shared" si="81"/>
        <v xml:space="preserve">N745MB  </v>
      </c>
      <c r="BE660">
        <v>1</v>
      </c>
      <c r="BG660">
        <v>0</v>
      </c>
      <c r="BH660">
        <v>0</v>
      </c>
      <c r="BI660">
        <v>0</v>
      </c>
      <c r="BL660" t="s">
        <v>130</v>
      </c>
      <c r="BM660">
        <v>1</v>
      </c>
      <c r="BN660">
        <v>0</v>
      </c>
      <c r="BO660">
        <v>0</v>
      </c>
      <c r="BP660">
        <v>0</v>
      </c>
      <c r="BT660">
        <v>0</v>
      </c>
      <c r="BU660">
        <v>0</v>
      </c>
      <c r="CE660" t="str">
        <f>"20:23:52.481"</f>
        <v>20:23:52.481</v>
      </c>
      <c r="CF660">
        <v>480769245</v>
      </c>
      <c r="CS660">
        <v>0</v>
      </c>
      <c r="CT660">
        <v>2</v>
      </c>
      <c r="CU660">
        <v>0</v>
      </c>
      <c r="CV660">
        <v>2</v>
      </c>
      <c r="CW660">
        <v>0</v>
      </c>
      <c r="CX660">
        <v>3</v>
      </c>
      <c r="CY660">
        <v>7</v>
      </c>
      <c r="CZ660" t="s">
        <v>131</v>
      </c>
      <c r="DA660">
        <v>116</v>
      </c>
      <c r="DB660">
        <v>3</v>
      </c>
      <c r="DC660" t="s">
        <v>132</v>
      </c>
      <c r="DD660" t="s">
        <v>133</v>
      </c>
      <c r="DG660">
        <v>8345600</v>
      </c>
      <c r="DI660">
        <v>0</v>
      </c>
      <c r="DJ660">
        <v>0</v>
      </c>
      <c r="DK660">
        <v>1</v>
      </c>
      <c r="DL660">
        <v>0</v>
      </c>
      <c r="DM660">
        <v>0</v>
      </c>
      <c r="DN660">
        <v>0</v>
      </c>
      <c r="DO660">
        <v>0</v>
      </c>
      <c r="DP660">
        <v>1</v>
      </c>
      <c r="DQ660">
        <v>0</v>
      </c>
      <c r="DR660">
        <v>0</v>
      </c>
      <c r="DS660">
        <v>0</v>
      </c>
    </row>
    <row r="661" spans="1:123" x14ac:dyDescent="0.25">
      <c r="A661" t="str">
        <f>"11/29/2023 20:23:52.914"</f>
        <v>11/29/2023 20:23:52.914</v>
      </c>
      <c r="C661" t="str">
        <f t="shared" ref="C661:C692" si="82">"FFDF53C0"</f>
        <v>FFDF53C0</v>
      </c>
      <c r="D661" t="s">
        <v>123</v>
      </c>
      <c r="E661">
        <v>1</v>
      </c>
      <c r="F661">
        <v>1001</v>
      </c>
      <c r="G661" t="s">
        <v>134</v>
      </c>
      <c r="J661" t="s">
        <v>125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"20:23:52.477"</f>
        <v>20:23:52.477</v>
      </c>
      <c r="T661" t="str">
        <f>"20:23:51.677"</f>
        <v>20:23:51.677</v>
      </c>
      <c r="U661" t="str">
        <f t="shared" si="79"/>
        <v>AA0632</v>
      </c>
      <c r="V661">
        <v>0</v>
      </c>
      <c r="W661">
        <v>0</v>
      </c>
      <c r="X661">
        <v>2</v>
      </c>
      <c r="Y661">
        <v>0</v>
      </c>
      <c r="AA661">
        <v>0</v>
      </c>
      <c r="AB661">
        <v>9</v>
      </c>
      <c r="AC661">
        <v>3</v>
      </c>
      <c r="AD661">
        <v>0</v>
      </c>
      <c r="AE661">
        <v>10</v>
      </c>
      <c r="AF661" t="s">
        <v>126</v>
      </c>
      <c r="AG661">
        <v>0</v>
      </c>
      <c r="AH661">
        <v>0</v>
      </c>
      <c r="AI661">
        <v>2</v>
      </c>
      <c r="AJ661">
        <v>0</v>
      </c>
      <c r="AK661" t="s">
        <v>468</v>
      </c>
      <c r="AL661">
        <v>31.925712000000001</v>
      </c>
      <c r="AM661" t="s">
        <v>469</v>
      </c>
      <c r="AN661">
        <v>-101.050551</v>
      </c>
      <c r="AQ661" t="s">
        <v>129</v>
      </c>
      <c r="AR661">
        <v>85</v>
      </c>
      <c r="AS661">
        <v>-20</v>
      </c>
      <c r="AT661">
        <v>448</v>
      </c>
      <c r="BB661" t="str">
        <f t="shared" si="80"/>
        <v>1200</v>
      </c>
      <c r="BC661">
        <v>1</v>
      </c>
      <c r="BD661" t="str">
        <f t="shared" si="81"/>
        <v xml:space="preserve">N745MB  </v>
      </c>
      <c r="BE661">
        <v>1</v>
      </c>
      <c r="BG661">
        <v>0</v>
      </c>
      <c r="BH661">
        <v>0</v>
      </c>
      <c r="BI661">
        <v>0</v>
      </c>
      <c r="BL661" t="s">
        <v>130</v>
      </c>
      <c r="BM661">
        <v>1</v>
      </c>
      <c r="BN661">
        <v>0</v>
      </c>
      <c r="BO661">
        <v>0</v>
      </c>
      <c r="BP661">
        <v>0</v>
      </c>
      <c r="BT661">
        <v>0</v>
      </c>
      <c r="BU661">
        <v>0</v>
      </c>
      <c r="CE661" t="str">
        <f>"20:23:52.481"</f>
        <v>20:23:52.481</v>
      </c>
      <c r="CF661">
        <v>480769245</v>
      </c>
      <c r="CS661">
        <v>0</v>
      </c>
      <c r="CT661">
        <v>2</v>
      </c>
      <c r="CU661">
        <v>0</v>
      </c>
      <c r="CV661">
        <v>2</v>
      </c>
      <c r="CW661">
        <v>0</v>
      </c>
      <c r="CX661">
        <v>3</v>
      </c>
      <c r="CY661">
        <v>7</v>
      </c>
      <c r="CZ661" t="s">
        <v>131</v>
      </c>
      <c r="DA661">
        <v>116</v>
      </c>
      <c r="DB661">
        <v>3</v>
      </c>
      <c r="DC661" t="s">
        <v>132</v>
      </c>
      <c r="DD661" t="s">
        <v>133</v>
      </c>
      <c r="DG661">
        <v>8345600</v>
      </c>
      <c r="DI661">
        <v>0</v>
      </c>
      <c r="DJ661">
        <v>0</v>
      </c>
      <c r="DK661">
        <v>1</v>
      </c>
      <c r="DL661">
        <v>0</v>
      </c>
      <c r="DM661">
        <v>0</v>
      </c>
      <c r="DN661">
        <v>0</v>
      </c>
      <c r="DO661">
        <v>0</v>
      </c>
      <c r="DP661">
        <v>1</v>
      </c>
      <c r="DQ661">
        <v>0</v>
      </c>
      <c r="DR661">
        <v>0</v>
      </c>
      <c r="DS661">
        <v>0</v>
      </c>
    </row>
    <row r="662" spans="1:123" x14ac:dyDescent="0.25">
      <c r="A662" t="str">
        <f>"11/29/2023 20:23:55.461"</f>
        <v>11/29/2023 20:23:55.461</v>
      </c>
      <c r="C662" t="str">
        <f t="shared" si="82"/>
        <v>FFDF53C0</v>
      </c>
      <c r="D662" t="s">
        <v>138</v>
      </c>
      <c r="E662">
        <v>3</v>
      </c>
      <c r="H662">
        <v>160</v>
      </c>
      <c r="I662" t="s">
        <v>124</v>
      </c>
      <c r="J662" t="s">
        <v>139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"20:23:55.039"</f>
        <v>20:23:55.039</v>
      </c>
      <c r="T662" t="str">
        <f>"20:23:54.739"</f>
        <v>20:23:54.739</v>
      </c>
      <c r="U662" t="str">
        <f t="shared" si="79"/>
        <v>AA0632</v>
      </c>
      <c r="V662">
        <v>0</v>
      </c>
      <c r="W662">
        <v>0</v>
      </c>
      <c r="X662">
        <v>2</v>
      </c>
      <c r="Y662">
        <v>0</v>
      </c>
      <c r="AA662">
        <v>0</v>
      </c>
      <c r="AB662">
        <v>9</v>
      </c>
      <c r="AC662">
        <v>3</v>
      </c>
      <c r="AD662">
        <v>0</v>
      </c>
      <c r="AE662">
        <v>10</v>
      </c>
      <c r="AF662" t="s">
        <v>126</v>
      </c>
      <c r="AG662">
        <v>0</v>
      </c>
      <c r="AH662">
        <v>0</v>
      </c>
      <c r="AI662">
        <v>2</v>
      </c>
      <c r="AJ662">
        <v>0</v>
      </c>
      <c r="AK662" t="s">
        <v>470</v>
      </c>
      <c r="AL662">
        <v>31.925497</v>
      </c>
      <c r="AM662" t="s">
        <v>471</v>
      </c>
      <c r="AN662">
        <v>-101.049328</v>
      </c>
      <c r="AQ662" t="s">
        <v>129</v>
      </c>
      <c r="AR662">
        <v>86</v>
      </c>
      <c r="AS662">
        <v>-19</v>
      </c>
      <c r="AT662">
        <v>-128</v>
      </c>
      <c r="BB662" t="str">
        <f t="shared" si="80"/>
        <v>1200</v>
      </c>
      <c r="BC662">
        <v>1</v>
      </c>
      <c r="BD662" t="str">
        <f t="shared" si="81"/>
        <v xml:space="preserve">N745MB  </v>
      </c>
      <c r="BE662">
        <v>1</v>
      </c>
      <c r="BG662">
        <v>0</v>
      </c>
      <c r="BH662">
        <v>0</v>
      </c>
      <c r="BI662">
        <v>0</v>
      </c>
      <c r="BL662" t="s">
        <v>130</v>
      </c>
      <c r="BM662">
        <v>1</v>
      </c>
      <c r="BN662">
        <v>0</v>
      </c>
      <c r="BO662">
        <v>0</v>
      </c>
      <c r="BP662">
        <v>0</v>
      </c>
      <c r="BT662">
        <v>0</v>
      </c>
      <c r="BU662">
        <v>0</v>
      </c>
      <c r="CE662" t="str">
        <f>"20:23:55.047"</f>
        <v>20:23:55.047</v>
      </c>
      <c r="CF662">
        <v>46596186</v>
      </c>
      <c r="CS662">
        <v>0</v>
      </c>
      <c r="CT662">
        <v>2</v>
      </c>
      <c r="CU662">
        <v>0</v>
      </c>
      <c r="CV662">
        <v>2</v>
      </c>
      <c r="CW662">
        <v>0</v>
      </c>
      <c r="CX662">
        <v>1</v>
      </c>
      <c r="CY662">
        <v>7</v>
      </c>
      <c r="CZ662" t="s">
        <v>131</v>
      </c>
      <c r="DA662">
        <v>116</v>
      </c>
      <c r="DB662">
        <v>3</v>
      </c>
      <c r="DC662" t="s">
        <v>132</v>
      </c>
      <c r="DD662" t="s">
        <v>133</v>
      </c>
      <c r="DG662">
        <v>8346855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1</v>
      </c>
      <c r="DQ662">
        <v>0</v>
      </c>
      <c r="DR662">
        <v>0</v>
      </c>
      <c r="DS662">
        <v>0</v>
      </c>
    </row>
    <row r="663" spans="1:123" x14ac:dyDescent="0.25">
      <c r="A663" t="str">
        <f>"11/29/2023 20:23:55.461"</f>
        <v>11/29/2023 20:23:55.461</v>
      </c>
      <c r="C663" t="str">
        <f t="shared" si="82"/>
        <v>FFDF53C0</v>
      </c>
      <c r="D663" t="s">
        <v>135</v>
      </c>
      <c r="E663">
        <v>31</v>
      </c>
      <c r="H663">
        <v>285</v>
      </c>
      <c r="I663" t="s">
        <v>136</v>
      </c>
      <c r="J663" t="s">
        <v>137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"20:23:55.039"</f>
        <v>20:23:55.039</v>
      </c>
      <c r="T663" t="str">
        <f>"20:23:54.739"</f>
        <v>20:23:54.739</v>
      </c>
      <c r="U663" t="str">
        <f t="shared" si="79"/>
        <v>AA0632</v>
      </c>
      <c r="V663">
        <v>0</v>
      </c>
      <c r="W663">
        <v>0</v>
      </c>
      <c r="X663">
        <v>2</v>
      </c>
      <c r="Y663">
        <v>0</v>
      </c>
      <c r="AA663">
        <v>0</v>
      </c>
      <c r="AB663">
        <v>9</v>
      </c>
      <c r="AC663">
        <v>3</v>
      </c>
      <c r="AD663">
        <v>0</v>
      </c>
      <c r="AE663">
        <v>10</v>
      </c>
      <c r="AF663" t="s">
        <v>126</v>
      </c>
      <c r="AG663">
        <v>0</v>
      </c>
      <c r="AH663">
        <v>0</v>
      </c>
      <c r="AI663">
        <v>2</v>
      </c>
      <c r="AJ663">
        <v>0</v>
      </c>
      <c r="AK663" t="s">
        <v>470</v>
      </c>
      <c r="AL663">
        <v>31.925497</v>
      </c>
      <c r="AM663" t="s">
        <v>471</v>
      </c>
      <c r="AN663">
        <v>-101.049328</v>
      </c>
      <c r="AQ663" t="s">
        <v>129</v>
      </c>
      <c r="AR663">
        <v>86</v>
      </c>
      <c r="AS663">
        <v>-19</v>
      </c>
      <c r="AT663">
        <v>-128</v>
      </c>
      <c r="BB663" t="str">
        <f t="shared" si="80"/>
        <v>1200</v>
      </c>
      <c r="BC663">
        <v>1</v>
      </c>
      <c r="BD663" t="str">
        <f t="shared" si="81"/>
        <v xml:space="preserve">N745MB  </v>
      </c>
      <c r="BE663">
        <v>1</v>
      </c>
      <c r="BG663">
        <v>0</v>
      </c>
      <c r="BH663">
        <v>0</v>
      </c>
      <c r="BI663">
        <v>0</v>
      </c>
      <c r="BL663" t="s">
        <v>130</v>
      </c>
      <c r="BM663">
        <v>1</v>
      </c>
      <c r="BN663">
        <v>0</v>
      </c>
      <c r="BO663">
        <v>0</v>
      </c>
      <c r="BP663">
        <v>0</v>
      </c>
      <c r="BT663">
        <v>0</v>
      </c>
      <c r="BU663">
        <v>0</v>
      </c>
      <c r="CE663" t="str">
        <f>"20:23:55.047"</f>
        <v>20:23:55.047</v>
      </c>
      <c r="CF663">
        <v>46596186</v>
      </c>
      <c r="CS663">
        <v>0</v>
      </c>
      <c r="CT663">
        <v>2</v>
      </c>
      <c r="CU663">
        <v>0</v>
      </c>
      <c r="CV663">
        <v>2</v>
      </c>
      <c r="CW663">
        <v>0</v>
      </c>
      <c r="CX663">
        <v>1</v>
      </c>
      <c r="CY663">
        <v>7</v>
      </c>
      <c r="CZ663" t="s">
        <v>131</v>
      </c>
      <c r="DA663">
        <v>116</v>
      </c>
      <c r="DB663">
        <v>3</v>
      </c>
      <c r="DC663" t="s">
        <v>132</v>
      </c>
      <c r="DD663" t="s">
        <v>133</v>
      </c>
      <c r="DG663">
        <v>8346855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1</v>
      </c>
      <c r="DQ663">
        <v>0</v>
      </c>
      <c r="DR663">
        <v>0</v>
      </c>
      <c r="DS663">
        <v>0</v>
      </c>
    </row>
    <row r="664" spans="1:123" x14ac:dyDescent="0.25">
      <c r="A664" t="str">
        <f>"11/29/2023 20:23:55.461"</f>
        <v>11/29/2023 20:23:55.461</v>
      </c>
      <c r="C664" t="str">
        <f t="shared" si="82"/>
        <v>FFDF53C0</v>
      </c>
      <c r="D664" t="s">
        <v>123</v>
      </c>
      <c r="E664">
        <v>1</v>
      </c>
      <c r="F664">
        <v>1001</v>
      </c>
      <c r="G664" t="s">
        <v>134</v>
      </c>
      <c r="J664" t="s">
        <v>125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"20:23:55.039"</f>
        <v>20:23:55.039</v>
      </c>
      <c r="T664" t="str">
        <f>"20:23:54.739"</f>
        <v>20:23:54.739</v>
      </c>
      <c r="U664" t="str">
        <f t="shared" si="79"/>
        <v>AA0632</v>
      </c>
      <c r="V664">
        <v>0</v>
      </c>
      <c r="W664">
        <v>0</v>
      </c>
      <c r="X664">
        <v>2</v>
      </c>
      <c r="Y664">
        <v>0</v>
      </c>
      <c r="AA664">
        <v>0</v>
      </c>
      <c r="AB664">
        <v>9</v>
      </c>
      <c r="AC664">
        <v>3</v>
      </c>
      <c r="AD664">
        <v>0</v>
      </c>
      <c r="AE664">
        <v>10</v>
      </c>
      <c r="AF664" t="s">
        <v>126</v>
      </c>
      <c r="AG664">
        <v>0</v>
      </c>
      <c r="AH664">
        <v>0</v>
      </c>
      <c r="AI664">
        <v>2</v>
      </c>
      <c r="AJ664">
        <v>0</v>
      </c>
      <c r="AK664" t="s">
        <v>470</v>
      </c>
      <c r="AL664">
        <v>31.925497</v>
      </c>
      <c r="AM664" t="s">
        <v>471</v>
      </c>
      <c r="AN664">
        <v>-101.049328</v>
      </c>
      <c r="AQ664" t="s">
        <v>129</v>
      </c>
      <c r="AR664">
        <v>86</v>
      </c>
      <c r="AS664">
        <v>-19</v>
      </c>
      <c r="AT664">
        <v>-128</v>
      </c>
      <c r="BB664" t="str">
        <f t="shared" si="80"/>
        <v>1200</v>
      </c>
      <c r="BC664">
        <v>1</v>
      </c>
      <c r="BD664" t="str">
        <f t="shared" si="81"/>
        <v xml:space="preserve">N745MB  </v>
      </c>
      <c r="BE664">
        <v>1</v>
      </c>
      <c r="BG664">
        <v>0</v>
      </c>
      <c r="BH664">
        <v>0</v>
      </c>
      <c r="BI664">
        <v>0</v>
      </c>
      <c r="BL664" t="s">
        <v>130</v>
      </c>
      <c r="BM664">
        <v>1</v>
      </c>
      <c r="BN664">
        <v>0</v>
      </c>
      <c r="BO664">
        <v>0</v>
      </c>
      <c r="BP664">
        <v>0</v>
      </c>
      <c r="BT664">
        <v>0</v>
      </c>
      <c r="BU664">
        <v>0</v>
      </c>
      <c r="CE664" t="str">
        <f>"20:23:55.047"</f>
        <v>20:23:55.047</v>
      </c>
      <c r="CF664">
        <v>46596186</v>
      </c>
      <c r="CS664">
        <v>0</v>
      </c>
      <c r="CT664">
        <v>2</v>
      </c>
      <c r="CU664">
        <v>0</v>
      </c>
      <c r="CV664">
        <v>2</v>
      </c>
      <c r="CW664">
        <v>0</v>
      </c>
      <c r="CX664">
        <v>1</v>
      </c>
      <c r="CY664">
        <v>7</v>
      </c>
      <c r="CZ664" t="s">
        <v>131</v>
      </c>
      <c r="DA664">
        <v>116</v>
      </c>
      <c r="DB664">
        <v>3</v>
      </c>
      <c r="DC664" t="s">
        <v>132</v>
      </c>
      <c r="DD664" t="s">
        <v>133</v>
      </c>
      <c r="DG664">
        <v>8346855</v>
      </c>
      <c r="DI664">
        <v>0</v>
      </c>
      <c r="DJ664">
        <v>0</v>
      </c>
      <c r="DK664">
        <v>1</v>
      </c>
      <c r="DL664">
        <v>0</v>
      </c>
      <c r="DM664">
        <v>0</v>
      </c>
      <c r="DN664">
        <v>0</v>
      </c>
      <c r="DO664">
        <v>0</v>
      </c>
      <c r="DP664">
        <v>1</v>
      </c>
      <c r="DQ664">
        <v>0</v>
      </c>
      <c r="DR664">
        <v>0</v>
      </c>
      <c r="DS664">
        <v>0</v>
      </c>
    </row>
    <row r="665" spans="1:123" x14ac:dyDescent="0.25">
      <c r="A665" t="str">
        <f>"11/29/2023 20:23:55.461"</f>
        <v>11/29/2023 20:23:55.461</v>
      </c>
      <c r="C665" t="str">
        <f t="shared" si="82"/>
        <v>FFDF53C0</v>
      </c>
      <c r="D665" t="s">
        <v>123</v>
      </c>
      <c r="E665">
        <v>14</v>
      </c>
      <c r="F665">
        <v>1014</v>
      </c>
      <c r="G665" t="s">
        <v>124</v>
      </c>
      <c r="J665" t="s">
        <v>125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"20:23:55.039"</f>
        <v>20:23:55.039</v>
      </c>
      <c r="T665" t="str">
        <f>"20:23:54.739"</f>
        <v>20:23:54.739</v>
      </c>
      <c r="U665" t="str">
        <f t="shared" si="79"/>
        <v>AA0632</v>
      </c>
      <c r="V665">
        <v>0</v>
      </c>
      <c r="W665">
        <v>0</v>
      </c>
      <c r="X665">
        <v>2</v>
      </c>
      <c r="Y665">
        <v>0</v>
      </c>
      <c r="AA665">
        <v>0</v>
      </c>
      <c r="AB665">
        <v>9</v>
      </c>
      <c r="AC665">
        <v>3</v>
      </c>
      <c r="AD665">
        <v>0</v>
      </c>
      <c r="AE665">
        <v>10</v>
      </c>
      <c r="AF665" t="s">
        <v>126</v>
      </c>
      <c r="AG665">
        <v>0</v>
      </c>
      <c r="AH665">
        <v>0</v>
      </c>
      <c r="AI665">
        <v>2</v>
      </c>
      <c r="AJ665">
        <v>0</v>
      </c>
      <c r="AK665" t="s">
        <v>470</v>
      </c>
      <c r="AL665">
        <v>31.925497</v>
      </c>
      <c r="AM665" t="s">
        <v>471</v>
      </c>
      <c r="AN665">
        <v>-101.049328</v>
      </c>
      <c r="AQ665" t="s">
        <v>129</v>
      </c>
      <c r="AR665">
        <v>86</v>
      </c>
      <c r="AS665">
        <v>-19</v>
      </c>
      <c r="AT665">
        <v>-128</v>
      </c>
      <c r="BB665" t="str">
        <f t="shared" si="80"/>
        <v>1200</v>
      </c>
      <c r="BC665">
        <v>1</v>
      </c>
      <c r="BD665" t="str">
        <f t="shared" si="81"/>
        <v xml:space="preserve">N745MB  </v>
      </c>
      <c r="BE665">
        <v>1</v>
      </c>
      <c r="BG665">
        <v>0</v>
      </c>
      <c r="BH665">
        <v>0</v>
      </c>
      <c r="BI665">
        <v>0</v>
      </c>
      <c r="BL665" t="s">
        <v>130</v>
      </c>
      <c r="BM665">
        <v>1</v>
      </c>
      <c r="BN665">
        <v>0</v>
      </c>
      <c r="BO665">
        <v>0</v>
      </c>
      <c r="BP665">
        <v>0</v>
      </c>
      <c r="BT665">
        <v>0</v>
      </c>
      <c r="BU665">
        <v>0</v>
      </c>
      <c r="CE665" t="str">
        <f>"20:23:55.047"</f>
        <v>20:23:55.047</v>
      </c>
      <c r="CF665">
        <v>46596186</v>
      </c>
      <c r="CS665">
        <v>0</v>
      </c>
      <c r="CT665">
        <v>2</v>
      </c>
      <c r="CU665">
        <v>0</v>
      </c>
      <c r="CV665">
        <v>2</v>
      </c>
      <c r="CW665">
        <v>0</v>
      </c>
      <c r="CX665">
        <v>1</v>
      </c>
      <c r="CY665">
        <v>7</v>
      </c>
      <c r="CZ665" t="s">
        <v>131</v>
      </c>
      <c r="DA665">
        <v>116</v>
      </c>
      <c r="DB665">
        <v>3</v>
      </c>
      <c r="DC665" t="s">
        <v>132</v>
      </c>
      <c r="DD665" t="s">
        <v>133</v>
      </c>
      <c r="DG665">
        <v>8346855</v>
      </c>
      <c r="DI665">
        <v>0</v>
      </c>
      <c r="DJ665">
        <v>0</v>
      </c>
      <c r="DK665">
        <v>1</v>
      </c>
      <c r="DL665">
        <v>0</v>
      </c>
      <c r="DM665">
        <v>0</v>
      </c>
      <c r="DN665">
        <v>0</v>
      </c>
      <c r="DO665">
        <v>0</v>
      </c>
      <c r="DP665">
        <v>1</v>
      </c>
      <c r="DQ665">
        <v>0</v>
      </c>
      <c r="DR665">
        <v>0</v>
      </c>
      <c r="DS665">
        <v>0</v>
      </c>
    </row>
    <row r="666" spans="1:123" x14ac:dyDescent="0.25">
      <c r="A666" t="str">
        <f>"11/29/2023 20:24:03.758"</f>
        <v>11/29/2023 20:24:03.758</v>
      </c>
      <c r="C666" t="str">
        <f t="shared" si="82"/>
        <v>FFDF53C0</v>
      </c>
      <c r="D666" t="s">
        <v>138</v>
      </c>
      <c r="E666">
        <v>3</v>
      </c>
      <c r="H666">
        <v>160</v>
      </c>
      <c r="I666" t="s">
        <v>124</v>
      </c>
      <c r="J666" t="s">
        <v>139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"20:24:03.414"</f>
        <v>20:24:03.414</v>
      </c>
      <c r="T666" t="str">
        <f>"20:24:03.214"</f>
        <v>20:24:03.214</v>
      </c>
      <c r="U666" t="str">
        <f t="shared" si="79"/>
        <v>AA0632</v>
      </c>
      <c r="V666">
        <v>0</v>
      </c>
      <c r="W666">
        <v>0</v>
      </c>
      <c r="X666">
        <v>2</v>
      </c>
      <c r="Y666">
        <v>0</v>
      </c>
      <c r="AA666">
        <v>0</v>
      </c>
      <c r="AB666">
        <v>9</v>
      </c>
      <c r="AC666">
        <v>3</v>
      </c>
      <c r="AD666">
        <v>0</v>
      </c>
      <c r="AE666">
        <v>10</v>
      </c>
      <c r="AF666" t="s">
        <v>126</v>
      </c>
      <c r="AG666">
        <v>0</v>
      </c>
      <c r="AH666">
        <v>0</v>
      </c>
      <c r="AI666">
        <v>2</v>
      </c>
      <c r="AJ666">
        <v>0</v>
      </c>
      <c r="AK666" t="s">
        <v>472</v>
      </c>
      <c r="AL666">
        <v>31.924659999999999</v>
      </c>
      <c r="AM666" t="s">
        <v>473</v>
      </c>
      <c r="AN666">
        <v>-101.045444</v>
      </c>
      <c r="AQ666" t="s">
        <v>129</v>
      </c>
      <c r="AR666">
        <v>85</v>
      </c>
      <c r="AS666">
        <v>-22</v>
      </c>
      <c r="AT666">
        <v>64</v>
      </c>
      <c r="BB666" t="str">
        <f t="shared" si="80"/>
        <v>1200</v>
      </c>
      <c r="BC666">
        <v>1</v>
      </c>
      <c r="BD666" t="str">
        <f t="shared" si="81"/>
        <v xml:space="preserve">N745MB  </v>
      </c>
      <c r="BE666">
        <v>1</v>
      </c>
      <c r="BG666">
        <v>0</v>
      </c>
      <c r="BH666">
        <v>0</v>
      </c>
      <c r="BI666">
        <v>0</v>
      </c>
      <c r="BL666" t="s">
        <v>130</v>
      </c>
      <c r="BM666">
        <v>1</v>
      </c>
      <c r="BN666">
        <v>0</v>
      </c>
      <c r="BO666">
        <v>0</v>
      </c>
      <c r="BP666">
        <v>0</v>
      </c>
      <c r="BT666">
        <v>0</v>
      </c>
      <c r="BU666">
        <v>0</v>
      </c>
      <c r="CE666" t="str">
        <f>"20:24:03.418"</f>
        <v>20:24:03.418</v>
      </c>
      <c r="CF666">
        <v>418034604</v>
      </c>
      <c r="CS666">
        <v>0</v>
      </c>
      <c r="CT666">
        <v>2</v>
      </c>
      <c r="CU666">
        <v>0</v>
      </c>
      <c r="CV666">
        <v>2</v>
      </c>
      <c r="CW666">
        <v>0</v>
      </c>
      <c r="CX666">
        <v>1</v>
      </c>
      <c r="CY666">
        <v>7</v>
      </c>
      <c r="CZ666" t="s">
        <v>131</v>
      </c>
      <c r="DA666">
        <v>116</v>
      </c>
      <c r="DB666">
        <v>3</v>
      </c>
      <c r="DC666" t="s">
        <v>132</v>
      </c>
      <c r="DD666" t="s">
        <v>133</v>
      </c>
      <c r="DG666">
        <v>8351263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1</v>
      </c>
      <c r="DQ666">
        <v>0</v>
      </c>
      <c r="DR666">
        <v>0</v>
      </c>
      <c r="DS666">
        <v>0</v>
      </c>
    </row>
    <row r="667" spans="1:123" x14ac:dyDescent="0.25">
      <c r="A667" t="str">
        <f>"11/29/2023 20:24:03.758"</f>
        <v>11/29/2023 20:24:03.758</v>
      </c>
      <c r="C667" t="str">
        <f t="shared" si="82"/>
        <v>FFDF53C0</v>
      </c>
      <c r="D667" t="s">
        <v>135</v>
      </c>
      <c r="E667">
        <v>31</v>
      </c>
      <c r="H667">
        <v>285</v>
      </c>
      <c r="I667" t="s">
        <v>136</v>
      </c>
      <c r="J667" t="s">
        <v>137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"20:24:03.414"</f>
        <v>20:24:03.414</v>
      </c>
      <c r="T667" t="str">
        <f>"20:24:03.214"</f>
        <v>20:24:03.214</v>
      </c>
      <c r="U667" t="str">
        <f t="shared" si="79"/>
        <v>AA0632</v>
      </c>
      <c r="V667">
        <v>0</v>
      </c>
      <c r="W667">
        <v>0</v>
      </c>
      <c r="X667">
        <v>2</v>
      </c>
      <c r="Y667">
        <v>0</v>
      </c>
      <c r="AA667">
        <v>0</v>
      </c>
      <c r="AB667">
        <v>9</v>
      </c>
      <c r="AC667">
        <v>3</v>
      </c>
      <c r="AD667">
        <v>0</v>
      </c>
      <c r="AE667">
        <v>10</v>
      </c>
      <c r="AF667" t="s">
        <v>126</v>
      </c>
      <c r="AG667">
        <v>0</v>
      </c>
      <c r="AH667">
        <v>0</v>
      </c>
      <c r="AI667">
        <v>2</v>
      </c>
      <c r="AJ667">
        <v>0</v>
      </c>
      <c r="AK667" t="s">
        <v>472</v>
      </c>
      <c r="AL667">
        <v>31.924659999999999</v>
      </c>
      <c r="AM667" t="s">
        <v>473</v>
      </c>
      <c r="AN667">
        <v>-101.045444</v>
      </c>
      <c r="AQ667" t="s">
        <v>129</v>
      </c>
      <c r="AR667">
        <v>85</v>
      </c>
      <c r="AS667">
        <v>-22</v>
      </c>
      <c r="AT667">
        <v>64</v>
      </c>
      <c r="BB667" t="str">
        <f t="shared" si="80"/>
        <v>1200</v>
      </c>
      <c r="BC667">
        <v>1</v>
      </c>
      <c r="BD667" t="str">
        <f t="shared" si="81"/>
        <v xml:space="preserve">N745MB  </v>
      </c>
      <c r="BE667">
        <v>1</v>
      </c>
      <c r="BG667">
        <v>0</v>
      </c>
      <c r="BH667">
        <v>0</v>
      </c>
      <c r="BI667">
        <v>0</v>
      </c>
      <c r="BL667" t="s">
        <v>130</v>
      </c>
      <c r="BM667">
        <v>1</v>
      </c>
      <c r="BN667">
        <v>0</v>
      </c>
      <c r="BO667">
        <v>0</v>
      </c>
      <c r="BP667">
        <v>0</v>
      </c>
      <c r="BT667">
        <v>0</v>
      </c>
      <c r="BU667">
        <v>0</v>
      </c>
      <c r="CE667" t="str">
        <f>"20:24:03.418"</f>
        <v>20:24:03.418</v>
      </c>
      <c r="CF667">
        <v>418034604</v>
      </c>
      <c r="CS667">
        <v>0</v>
      </c>
      <c r="CT667">
        <v>2</v>
      </c>
      <c r="CU667">
        <v>0</v>
      </c>
      <c r="CV667">
        <v>2</v>
      </c>
      <c r="CW667">
        <v>0</v>
      </c>
      <c r="CX667">
        <v>1</v>
      </c>
      <c r="CY667">
        <v>7</v>
      </c>
      <c r="CZ667" t="s">
        <v>131</v>
      </c>
      <c r="DA667">
        <v>116</v>
      </c>
      <c r="DB667">
        <v>3</v>
      </c>
      <c r="DC667" t="s">
        <v>132</v>
      </c>
      <c r="DD667" t="s">
        <v>133</v>
      </c>
      <c r="DG667">
        <v>8351263</v>
      </c>
      <c r="DI667">
        <v>0</v>
      </c>
      <c r="DJ667">
        <v>0</v>
      </c>
      <c r="DK667">
        <v>1</v>
      </c>
      <c r="DL667">
        <v>0</v>
      </c>
      <c r="DM667">
        <v>0</v>
      </c>
      <c r="DN667">
        <v>0</v>
      </c>
      <c r="DO667">
        <v>0</v>
      </c>
      <c r="DP667">
        <v>1</v>
      </c>
      <c r="DQ667">
        <v>0</v>
      </c>
      <c r="DR667">
        <v>0</v>
      </c>
      <c r="DS667">
        <v>0</v>
      </c>
    </row>
    <row r="668" spans="1:123" x14ac:dyDescent="0.25">
      <c r="A668" t="str">
        <f>"11/29/2023 20:24:03.758"</f>
        <v>11/29/2023 20:24:03.758</v>
      </c>
      <c r="C668" t="str">
        <f t="shared" si="82"/>
        <v>FFDF53C0</v>
      </c>
      <c r="D668" t="s">
        <v>123</v>
      </c>
      <c r="E668">
        <v>1</v>
      </c>
      <c r="F668">
        <v>1001</v>
      </c>
      <c r="G668" t="s">
        <v>134</v>
      </c>
      <c r="J668" t="s">
        <v>125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"20:24:03.414"</f>
        <v>20:24:03.414</v>
      </c>
      <c r="T668" t="str">
        <f>"20:24:03.214"</f>
        <v>20:24:03.214</v>
      </c>
      <c r="U668" t="str">
        <f t="shared" si="79"/>
        <v>AA0632</v>
      </c>
      <c r="V668">
        <v>0</v>
      </c>
      <c r="W668">
        <v>0</v>
      </c>
      <c r="X668">
        <v>2</v>
      </c>
      <c r="Y668">
        <v>0</v>
      </c>
      <c r="AA668">
        <v>0</v>
      </c>
      <c r="AB668">
        <v>9</v>
      </c>
      <c r="AC668">
        <v>3</v>
      </c>
      <c r="AD668">
        <v>0</v>
      </c>
      <c r="AE668">
        <v>10</v>
      </c>
      <c r="AF668" t="s">
        <v>126</v>
      </c>
      <c r="AG668">
        <v>0</v>
      </c>
      <c r="AH668">
        <v>0</v>
      </c>
      <c r="AI668">
        <v>2</v>
      </c>
      <c r="AJ668">
        <v>0</v>
      </c>
      <c r="AK668" t="s">
        <v>472</v>
      </c>
      <c r="AL668">
        <v>31.924659999999999</v>
      </c>
      <c r="AM668" t="s">
        <v>473</v>
      </c>
      <c r="AN668">
        <v>-101.045444</v>
      </c>
      <c r="AQ668" t="s">
        <v>129</v>
      </c>
      <c r="AR668">
        <v>85</v>
      </c>
      <c r="AS668">
        <v>-22</v>
      </c>
      <c r="AT668">
        <v>64</v>
      </c>
      <c r="BB668" t="str">
        <f t="shared" si="80"/>
        <v>1200</v>
      </c>
      <c r="BC668">
        <v>1</v>
      </c>
      <c r="BD668" t="str">
        <f t="shared" si="81"/>
        <v xml:space="preserve">N745MB  </v>
      </c>
      <c r="BE668">
        <v>1</v>
      </c>
      <c r="BG668">
        <v>0</v>
      </c>
      <c r="BH668">
        <v>0</v>
      </c>
      <c r="BI668">
        <v>0</v>
      </c>
      <c r="BL668" t="s">
        <v>130</v>
      </c>
      <c r="BM668">
        <v>1</v>
      </c>
      <c r="BN668">
        <v>0</v>
      </c>
      <c r="BO668">
        <v>0</v>
      </c>
      <c r="BP668">
        <v>0</v>
      </c>
      <c r="BT668">
        <v>0</v>
      </c>
      <c r="BU668">
        <v>0</v>
      </c>
      <c r="CE668" t="str">
        <f>"20:24:03.418"</f>
        <v>20:24:03.418</v>
      </c>
      <c r="CF668">
        <v>418034604</v>
      </c>
      <c r="CS668">
        <v>0</v>
      </c>
      <c r="CT668">
        <v>2</v>
      </c>
      <c r="CU668">
        <v>0</v>
      </c>
      <c r="CV668">
        <v>2</v>
      </c>
      <c r="CW668">
        <v>0</v>
      </c>
      <c r="CX668">
        <v>1</v>
      </c>
      <c r="CY668">
        <v>7</v>
      </c>
      <c r="CZ668" t="s">
        <v>131</v>
      </c>
      <c r="DA668">
        <v>116</v>
      </c>
      <c r="DB668">
        <v>3</v>
      </c>
      <c r="DC668" t="s">
        <v>132</v>
      </c>
      <c r="DD668" t="s">
        <v>133</v>
      </c>
      <c r="DG668">
        <v>8351263</v>
      </c>
      <c r="DI668">
        <v>0</v>
      </c>
      <c r="DJ668">
        <v>0</v>
      </c>
      <c r="DK668">
        <v>1</v>
      </c>
      <c r="DL668">
        <v>0</v>
      </c>
      <c r="DM668">
        <v>0</v>
      </c>
      <c r="DN668">
        <v>0</v>
      </c>
      <c r="DO668">
        <v>0</v>
      </c>
      <c r="DP668">
        <v>1</v>
      </c>
      <c r="DQ668">
        <v>0</v>
      </c>
      <c r="DR668">
        <v>0</v>
      </c>
      <c r="DS668">
        <v>0</v>
      </c>
    </row>
    <row r="669" spans="1:123" x14ac:dyDescent="0.25">
      <c r="A669" t="str">
        <f>"11/29/2023 20:24:03.758"</f>
        <v>11/29/2023 20:24:03.758</v>
      </c>
      <c r="C669" t="str">
        <f t="shared" si="82"/>
        <v>FFDF53C0</v>
      </c>
      <c r="D669" t="s">
        <v>123</v>
      </c>
      <c r="E669">
        <v>14</v>
      </c>
      <c r="F669">
        <v>1014</v>
      </c>
      <c r="G669" t="s">
        <v>124</v>
      </c>
      <c r="J669" t="s">
        <v>125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"20:24:03.414"</f>
        <v>20:24:03.414</v>
      </c>
      <c r="T669" t="str">
        <f>"20:24:03.214"</f>
        <v>20:24:03.214</v>
      </c>
      <c r="U669" t="str">
        <f t="shared" si="79"/>
        <v>AA0632</v>
      </c>
      <c r="V669">
        <v>0</v>
      </c>
      <c r="W669">
        <v>0</v>
      </c>
      <c r="X669">
        <v>2</v>
      </c>
      <c r="Y669">
        <v>0</v>
      </c>
      <c r="AA669">
        <v>0</v>
      </c>
      <c r="AB669">
        <v>9</v>
      </c>
      <c r="AC669">
        <v>3</v>
      </c>
      <c r="AD669">
        <v>0</v>
      </c>
      <c r="AE669">
        <v>10</v>
      </c>
      <c r="AF669" t="s">
        <v>126</v>
      </c>
      <c r="AG669">
        <v>0</v>
      </c>
      <c r="AH669">
        <v>0</v>
      </c>
      <c r="AI669">
        <v>2</v>
      </c>
      <c r="AJ669">
        <v>0</v>
      </c>
      <c r="AK669" t="s">
        <v>472</v>
      </c>
      <c r="AL669">
        <v>31.924659999999999</v>
      </c>
      <c r="AM669" t="s">
        <v>473</v>
      </c>
      <c r="AN669">
        <v>-101.045444</v>
      </c>
      <c r="AQ669" t="s">
        <v>129</v>
      </c>
      <c r="AR669">
        <v>85</v>
      </c>
      <c r="AS669">
        <v>-22</v>
      </c>
      <c r="AT669">
        <v>64</v>
      </c>
      <c r="BB669" t="str">
        <f t="shared" si="80"/>
        <v>1200</v>
      </c>
      <c r="BC669">
        <v>1</v>
      </c>
      <c r="BD669" t="str">
        <f t="shared" si="81"/>
        <v xml:space="preserve">N745MB  </v>
      </c>
      <c r="BE669">
        <v>1</v>
      </c>
      <c r="BG669">
        <v>0</v>
      </c>
      <c r="BH669">
        <v>0</v>
      </c>
      <c r="BI669">
        <v>0</v>
      </c>
      <c r="BL669" t="s">
        <v>130</v>
      </c>
      <c r="BM669">
        <v>1</v>
      </c>
      <c r="BN669">
        <v>0</v>
      </c>
      <c r="BO669">
        <v>0</v>
      </c>
      <c r="BP669">
        <v>0</v>
      </c>
      <c r="BT669">
        <v>0</v>
      </c>
      <c r="BU669">
        <v>0</v>
      </c>
      <c r="CE669" t="str">
        <f>"20:24:03.418"</f>
        <v>20:24:03.418</v>
      </c>
      <c r="CF669">
        <v>418034604</v>
      </c>
      <c r="CS669">
        <v>0</v>
      </c>
      <c r="CT669">
        <v>2</v>
      </c>
      <c r="CU669">
        <v>0</v>
      </c>
      <c r="CV669">
        <v>2</v>
      </c>
      <c r="CW669">
        <v>0</v>
      </c>
      <c r="CX669">
        <v>1</v>
      </c>
      <c r="CY669">
        <v>7</v>
      </c>
      <c r="CZ669" t="s">
        <v>131</v>
      </c>
      <c r="DA669">
        <v>116</v>
      </c>
      <c r="DB669">
        <v>3</v>
      </c>
      <c r="DC669" t="s">
        <v>132</v>
      </c>
      <c r="DD669" t="s">
        <v>133</v>
      </c>
      <c r="DG669">
        <v>8351263</v>
      </c>
      <c r="DI669">
        <v>0</v>
      </c>
      <c r="DJ669">
        <v>0</v>
      </c>
      <c r="DK669">
        <v>1</v>
      </c>
      <c r="DL669">
        <v>0</v>
      </c>
      <c r="DM669">
        <v>0</v>
      </c>
      <c r="DN669">
        <v>0</v>
      </c>
      <c r="DO669">
        <v>0</v>
      </c>
      <c r="DP669">
        <v>1</v>
      </c>
      <c r="DQ669">
        <v>0</v>
      </c>
      <c r="DR669">
        <v>0</v>
      </c>
      <c r="DS669">
        <v>0</v>
      </c>
    </row>
    <row r="670" spans="1:123" x14ac:dyDescent="0.25">
      <c r="A670" t="str">
        <f>"11/29/2023 20:24:04.946"</f>
        <v>11/29/2023 20:24:04.946</v>
      </c>
      <c r="C670" t="str">
        <f t="shared" si="82"/>
        <v>FFDF53C0</v>
      </c>
      <c r="D670" t="s">
        <v>135</v>
      </c>
      <c r="E670">
        <v>31</v>
      </c>
      <c r="H670">
        <v>285</v>
      </c>
      <c r="I670" t="s">
        <v>136</v>
      </c>
      <c r="J670" t="s">
        <v>137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"20:24:04.523"</f>
        <v>20:24:04.523</v>
      </c>
      <c r="T670" t="str">
        <f>"20:24:04.123"</f>
        <v>20:24:04.123</v>
      </c>
      <c r="U670" t="str">
        <f t="shared" si="79"/>
        <v>AA0632</v>
      </c>
      <c r="V670">
        <v>0</v>
      </c>
      <c r="W670">
        <v>0</v>
      </c>
      <c r="X670">
        <v>2</v>
      </c>
      <c r="Y670">
        <v>0</v>
      </c>
      <c r="AA670">
        <v>0</v>
      </c>
      <c r="AB670">
        <v>9</v>
      </c>
      <c r="AC670">
        <v>3</v>
      </c>
      <c r="AD670">
        <v>0</v>
      </c>
      <c r="AE670">
        <v>10</v>
      </c>
      <c r="AF670" t="s">
        <v>126</v>
      </c>
      <c r="AG670">
        <v>0</v>
      </c>
      <c r="AH670">
        <v>0</v>
      </c>
      <c r="AI670">
        <v>2</v>
      </c>
      <c r="AJ670">
        <v>0</v>
      </c>
      <c r="AK670" t="s">
        <v>474</v>
      </c>
      <c r="AL670">
        <v>31.924553</v>
      </c>
      <c r="AM670" t="s">
        <v>475</v>
      </c>
      <c r="AN670">
        <v>-101.04495</v>
      </c>
      <c r="AQ670" t="s">
        <v>129</v>
      </c>
      <c r="AR670">
        <v>85</v>
      </c>
      <c r="AS670">
        <v>-22</v>
      </c>
      <c r="AT670">
        <v>64</v>
      </c>
      <c r="BB670" t="str">
        <f t="shared" si="80"/>
        <v>1200</v>
      </c>
      <c r="BC670">
        <v>1</v>
      </c>
      <c r="BD670" t="str">
        <f t="shared" si="81"/>
        <v xml:space="preserve">N745MB  </v>
      </c>
      <c r="BE670">
        <v>1</v>
      </c>
      <c r="BG670">
        <v>0</v>
      </c>
      <c r="BH670">
        <v>0</v>
      </c>
      <c r="BI670">
        <v>0</v>
      </c>
      <c r="BL670" t="s">
        <v>130</v>
      </c>
      <c r="BM670">
        <v>1</v>
      </c>
      <c r="BN670">
        <v>0</v>
      </c>
      <c r="BO670">
        <v>0</v>
      </c>
      <c r="BP670">
        <v>0</v>
      </c>
      <c r="BT670">
        <v>0</v>
      </c>
      <c r="BU670">
        <v>0</v>
      </c>
      <c r="CE670" t="str">
        <f>"20:24:04.528"</f>
        <v>20:24:04.528</v>
      </c>
      <c r="CF670">
        <v>527957743</v>
      </c>
      <c r="CS670">
        <v>0</v>
      </c>
      <c r="CT670">
        <v>2</v>
      </c>
      <c r="CU670">
        <v>0</v>
      </c>
      <c r="CV670">
        <v>2</v>
      </c>
      <c r="CW670">
        <v>0</v>
      </c>
      <c r="CX670">
        <v>2</v>
      </c>
      <c r="CY670">
        <v>7</v>
      </c>
      <c r="CZ670" t="s">
        <v>131</v>
      </c>
      <c r="DA670">
        <v>116</v>
      </c>
      <c r="DB670">
        <v>3</v>
      </c>
      <c r="DC670" t="s">
        <v>132</v>
      </c>
      <c r="DD670" t="s">
        <v>133</v>
      </c>
      <c r="DG670">
        <v>8351831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1</v>
      </c>
      <c r="DQ670">
        <v>0</v>
      </c>
      <c r="DR670">
        <v>0</v>
      </c>
      <c r="DS670">
        <v>0</v>
      </c>
    </row>
    <row r="671" spans="1:123" x14ac:dyDescent="0.25">
      <c r="A671" t="str">
        <f>"11/29/2023 20:24:04.946"</f>
        <v>11/29/2023 20:24:04.946</v>
      </c>
      <c r="C671" t="str">
        <f t="shared" si="82"/>
        <v>FFDF53C0</v>
      </c>
      <c r="D671" t="s">
        <v>123</v>
      </c>
      <c r="E671">
        <v>1</v>
      </c>
      <c r="F671">
        <v>1001</v>
      </c>
      <c r="G671" t="s">
        <v>134</v>
      </c>
      <c r="J671" t="s">
        <v>125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"20:24:04.523"</f>
        <v>20:24:04.523</v>
      </c>
      <c r="T671" t="str">
        <f>"20:24:04.123"</f>
        <v>20:24:04.123</v>
      </c>
      <c r="U671" t="str">
        <f t="shared" si="79"/>
        <v>AA0632</v>
      </c>
      <c r="V671">
        <v>0</v>
      </c>
      <c r="W671">
        <v>0</v>
      </c>
      <c r="X671">
        <v>2</v>
      </c>
      <c r="Y671">
        <v>0</v>
      </c>
      <c r="AA671">
        <v>0</v>
      </c>
      <c r="AB671">
        <v>9</v>
      </c>
      <c r="AC671">
        <v>3</v>
      </c>
      <c r="AD671">
        <v>0</v>
      </c>
      <c r="AE671">
        <v>10</v>
      </c>
      <c r="AF671" t="s">
        <v>126</v>
      </c>
      <c r="AG671">
        <v>0</v>
      </c>
      <c r="AH671">
        <v>0</v>
      </c>
      <c r="AI671">
        <v>2</v>
      </c>
      <c r="AJ671">
        <v>0</v>
      </c>
      <c r="AK671" t="s">
        <v>474</v>
      </c>
      <c r="AL671">
        <v>31.924553</v>
      </c>
      <c r="AM671" t="s">
        <v>475</v>
      </c>
      <c r="AN671">
        <v>-101.04495</v>
      </c>
      <c r="AQ671" t="s">
        <v>129</v>
      </c>
      <c r="AR671">
        <v>85</v>
      </c>
      <c r="AS671">
        <v>-22</v>
      </c>
      <c r="AT671">
        <v>64</v>
      </c>
      <c r="BB671" t="str">
        <f t="shared" si="80"/>
        <v>1200</v>
      </c>
      <c r="BC671">
        <v>1</v>
      </c>
      <c r="BD671" t="str">
        <f t="shared" si="81"/>
        <v xml:space="preserve">N745MB  </v>
      </c>
      <c r="BE671">
        <v>1</v>
      </c>
      <c r="BG671">
        <v>0</v>
      </c>
      <c r="BH671">
        <v>0</v>
      </c>
      <c r="BI671">
        <v>0</v>
      </c>
      <c r="BL671" t="s">
        <v>130</v>
      </c>
      <c r="BM671">
        <v>1</v>
      </c>
      <c r="BN671">
        <v>0</v>
      </c>
      <c r="BO671">
        <v>0</v>
      </c>
      <c r="BP671">
        <v>0</v>
      </c>
      <c r="BT671">
        <v>0</v>
      </c>
      <c r="BU671">
        <v>0</v>
      </c>
      <c r="CE671" t="str">
        <f>"20:24:04.528"</f>
        <v>20:24:04.528</v>
      </c>
      <c r="CF671">
        <v>527957743</v>
      </c>
      <c r="CS671">
        <v>0</v>
      </c>
      <c r="CT671">
        <v>2</v>
      </c>
      <c r="CU671">
        <v>0</v>
      </c>
      <c r="CV671">
        <v>2</v>
      </c>
      <c r="CW671">
        <v>0</v>
      </c>
      <c r="CX671">
        <v>2</v>
      </c>
      <c r="CY671">
        <v>7</v>
      </c>
      <c r="CZ671" t="s">
        <v>131</v>
      </c>
      <c r="DA671">
        <v>116</v>
      </c>
      <c r="DB671">
        <v>3</v>
      </c>
      <c r="DC671" t="s">
        <v>132</v>
      </c>
      <c r="DD671" t="s">
        <v>133</v>
      </c>
      <c r="DG671">
        <v>8351831</v>
      </c>
      <c r="DI671">
        <v>0</v>
      </c>
      <c r="DJ671">
        <v>0</v>
      </c>
      <c r="DK671">
        <v>1</v>
      </c>
      <c r="DL671">
        <v>0</v>
      </c>
      <c r="DM671">
        <v>0</v>
      </c>
      <c r="DN671">
        <v>0</v>
      </c>
      <c r="DO671">
        <v>0</v>
      </c>
      <c r="DP671">
        <v>1</v>
      </c>
      <c r="DQ671">
        <v>0</v>
      </c>
      <c r="DR671">
        <v>0</v>
      </c>
      <c r="DS671">
        <v>0</v>
      </c>
    </row>
    <row r="672" spans="1:123" x14ac:dyDescent="0.25">
      <c r="A672" t="str">
        <f>"11/29/2023 20:24:04.946"</f>
        <v>11/29/2023 20:24:04.946</v>
      </c>
      <c r="C672" t="str">
        <f t="shared" si="82"/>
        <v>FFDF53C0</v>
      </c>
      <c r="D672" t="s">
        <v>123</v>
      </c>
      <c r="E672">
        <v>14</v>
      </c>
      <c r="F672">
        <v>1014</v>
      </c>
      <c r="G672" t="s">
        <v>124</v>
      </c>
      <c r="J672" t="s">
        <v>125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"20:24:04.523"</f>
        <v>20:24:04.523</v>
      </c>
      <c r="T672" t="str">
        <f>"20:24:04.123"</f>
        <v>20:24:04.123</v>
      </c>
      <c r="U672" t="str">
        <f t="shared" si="79"/>
        <v>AA0632</v>
      </c>
      <c r="V672">
        <v>0</v>
      </c>
      <c r="W672">
        <v>0</v>
      </c>
      <c r="X672">
        <v>2</v>
      </c>
      <c r="Y672">
        <v>0</v>
      </c>
      <c r="AA672">
        <v>0</v>
      </c>
      <c r="AB672">
        <v>9</v>
      </c>
      <c r="AC672">
        <v>3</v>
      </c>
      <c r="AD672">
        <v>0</v>
      </c>
      <c r="AE672">
        <v>10</v>
      </c>
      <c r="AF672" t="s">
        <v>126</v>
      </c>
      <c r="AG672">
        <v>0</v>
      </c>
      <c r="AH672">
        <v>0</v>
      </c>
      <c r="AI672">
        <v>2</v>
      </c>
      <c r="AJ672">
        <v>0</v>
      </c>
      <c r="AK672" t="s">
        <v>474</v>
      </c>
      <c r="AL672">
        <v>31.924553</v>
      </c>
      <c r="AM672" t="s">
        <v>475</v>
      </c>
      <c r="AN672">
        <v>-101.04495</v>
      </c>
      <c r="AQ672" t="s">
        <v>129</v>
      </c>
      <c r="AR672">
        <v>85</v>
      </c>
      <c r="AS672">
        <v>-22</v>
      </c>
      <c r="AT672">
        <v>64</v>
      </c>
      <c r="BB672" t="str">
        <f t="shared" si="80"/>
        <v>1200</v>
      </c>
      <c r="BC672">
        <v>1</v>
      </c>
      <c r="BD672" t="str">
        <f t="shared" si="81"/>
        <v xml:space="preserve">N745MB  </v>
      </c>
      <c r="BE672">
        <v>1</v>
      </c>
      <c r="BG672">
        <v>0</v>
      </c>
      <c r="BH672">
        <v>0</v>
      </c>
      <c r="BI672">
        <v>0</v>
      </c>
      <c r="BL672" t="s">
        <v>130</v>
      </c>
      <c r="BM672">
        <v>1</v>
      </c>
      <c r="BN672">
        <v>0</v>
      </c>
      <c r="BO672">
        <v>0</v>
      </c>
      <c r="BP672">
        <v>0</v>
      </c>
      <c r="BT672">
        <v>0</v>
      </c>
      <c r="BU672">
        <v>0</v>
      </c>
      <c r="CE672" t="str">
        <f>"20:24:04.528"</f>
        <v>20:24:04.528</v>
      </c>
      <c r="CF672">
        <v>527957743</v>
      </c>
      <c r="CS672">
        <v>0</v>
      </c>
      <c r="CT672">
        <v>2</v>
      </c>
      <c r="CU672">
        <v>0</v>
      </c>
      <c r="CV672">
        <v>2</v>
      </c>
      <c r="CW672">
        <v>0</v>
      </c>
      <c r="CX672">
        <v>2</v>
      </c>
      <c r="CY672">
        <v>7</v>
      </c>
      <c r="CZ672" t="s">
        <v>131</v>
      </c>
      <c r="DA672">
        <v>116</v>
      </c>
      <c r="DB672">
        <v>3</v>
      </c>
      <c r="DC672" t="s">
        <v>132</v>
      </c>
      <c r="DD672" t="s">
        <v>133</v>
      </c>
      <c r="DG672">
        <v>8351831</v>
      </c>
      <c r="DI672">
        <v>0</v>
      </c>
      <c r="DJ672">
        <v>0</v>
      </c>
      <c r="DK672">
        <v>1</v>
      </c>
      <c r="DL672">
        <v>0</v>
      </c>
      <c r="DM672">
        <v>0</v>
      </c>
      <c r="DN672">
        <v>0</v>
      </c>
      <c r="DO672">
        <v>0</v>
      </c>
      <c r="DP672">
        <v>1</v>
      </c>
      <c r="DQ672">
        <v>0</v>
      </c>
      <c r="DR672">
        <v>0</v>
      </c>
      <c r="DS672">
        <v>0</v>
      </c>
    </row>
    <row r="673" spans="1:123" x14ac:dyDescent="0.25">
      <c r="A673" t="str">
        <f>"11/29/2023 20:24:04.946"</f>
        <v>11/29/2023 20:24:04.946</v>
      </c>
      <c r="C673" t="str">
        <f t="shared" si="82"/>
        <v>FFDF53C0</v>
      </c>
      <c r="D673" t="s">
        <v>138</v>
      </c>
      <c r="E673">
        <v>3</v>
      </c>
      <c r="H673">
        <v>160</v>
      </c>
      <c r="I673" t="s">
        <v>124</v>
      </c>
      <c r="J673" t="s">
        <v>139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"20:24:04.523"</f>
        <v>20:24:04.523</v>
      </c>
      <c r="T673" t="str">
        <f>"20:24:04.123"</f>
        <v>20:24:04.123</v>
      </c>
      <c r="U673" t="str">
        <f t="shared" si="79"/>
        <v>AA0632</v>
      </c>
      <c r="V673">
        <v>0</v>
      </c>
      <c r="W673">
        <v>0</v>
      </c>
      <c r="X673">
        <v>2</v>
      </c>
      <c r="Y673">
        <v>0</v>
      </c>
      <c r="AA673">
        <v>0</v>
      </c>
      <c r="AB673">
        <v>9</v>
      </c>
      <c r="AC673">
        <v>3</v>
      </c>
      <c r="AD673">
        <v>0</v>
      </c>
      <c r="AE673">
        <v>10</v>
      </c>
      <c r="AF673" t="s">
        <v>126</v>
      </c>
      <c r="AG673">
        <v>0</v>
      </c>
      <c r="AH673">
        <v>0</v>
      </c>
      <c r="AI673">
        <v>2</v>
      </c>
      <c r="AJ673">
        <v>0</v>
      </c>
      <c r="AK673" t="s">
        <v>474</v>
      </c>
      <c r="AL673">
        <v>31.924553</v>
      </c>
      <c r="AM673" t="s">
        <v>475</v>
      </c>
      <c r="AN673">
        <v>-101.04495</v>
      </c>
      <c r="AQ673" t="s">
        <v>129</v>
      </c>
      <c r="AR673">
        <v>85</v>
      </c>
      <c r="AS673">
        <v>-22</v>
      </c>
      <c r="AT673">
        <v>64</v>
      </c>
      <c r="BB673" t="str">
        <f t="shared" si="80"/>
        <v>1200</v>
      </c>
      <c r="BC673">
        <v>1</v>
      </c>
      <c r="BD673" t="str">
        <f t="shared" si="81"/>
        <v xml:space="preserve">N745MB  </v>
      </c>
      <c r="BE673">
        <v>1</v>
      </c>
      <c r="BG673">
        <v>0</v>
      </c>
      <c r="BH673">
        <v>0</v>
      </c>
      <c r="BI673">
        <v>0</v>
      </c>
      <c r="BL673" t="s">
        <v>130</v>
      </c>
      <c r="BM673">
        <v>1</v>
      </c>
      <c r="BN673">
        <v>0</v>
      </c>
      <c r="BO673">
        <v>0</v>
      </c>
      <c r="BP673">
        <v>0</v>
      </c>
      <c r="BT673">
        <v>0</v>
      </c>
      <c r="BU673">
        <v>0</v>
      </c>
      <c r="CE673" t="str">
        <f>"20:24:04.528"</f>
        <v>20:24:04.528</v>
      </c>
      <c r="CF673">
        <v>527957743</v>
      </c>
      <c r="CS673">
        <v>0</v>
      </c>
      <c r="CT673">
        <v>2</v>
      </c>
      <c r="CU673">
        <v>0</v>
      </c>
      <c r="CV673">
        <v>2</v>
      </c>
      <c r="CW673">
        <v>0</v>
      </c>
      <c r="CX673">
        <v>2</v>
      </c>
      <c r="CY673">
        <v>7</v>
      </c>
      <c r="CZ673" t="s">
        <v>131</v>
      </c>
      <c r="DA673">
        <v>116</v>
      </c>
      <c r="DB673">
        <v>3</v>
      </c>
      <c r="DC673" t="s">
        <v>132</v>
      </c>
      <c r="DD673" t="s">
        <v>133</v>
      </c>
      <c r="DG673">
        <v>8351831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1</v>
      </c>
      <c r="DQ673">
        <v>0</v>
      </c>
      <c r="DR673">
        <v>0</v>
      </c>
      <c r="DS673">
        <v>0</v>
      </c>
    </row>
    <row r="674" spans="1:123" x14ac:dyDescent="0.25">
      <c r="A674" t="str">
        <f>"11/29/2023 20:24:05.696"</f>
        <v>11/29/2023 20:24:05.696</v>
      </c>
      <c r="C674" t="str">
        <f t="shared" si="82"/>
        <v>FFDF53C0</v>
      </c>
      <c r="D674" t="s">
        <v>138</v>
      </c>
      <c r="E674">
        <v>3</v>
      </c>
      <c r="H674">
        <v>160</v>
      </c>
      <c r="I674" t="s">
        <v>124</v>
      </c>
      <c r="J674" t="s">
        <v>139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"20:24:05.398"</f>
        <v>20:24:05.398</v>
      </c>
      <c r="T674" t="str">
        <f>"20:24:05.298"</f>
        <v>20:24:05.298</v>
      </c>
      <c r="U674" t="str">
        <f t="shared" si="79"/>
        <v>AA0632</v>
      </c>
      <c r="V674">
        <v>0</v>
      </c>
      <c r="W674">
        <v>0</v>
      </c>
      <c r="X674">
        <v>2</v>
      </c>
      <c r="Y674">
        <v>0</v>
      </c>
      <c r="AA674">
        <v>0</v>
      </c>
      <c r="AB674">
        <v>9</v>
      </c>
      <c r="AC674">
        <v>3</v>
      </c>
      <c r="AD674">
        <v>0</v>
      </c>
      <c r="AE674">
        <v>10</v>
      </c>
      <c r="AF674" t="s">
        <v>126</v>
      </c>
      <c r="AG674">
        <v>0</v>
      </c>
      <c r="AH674">
        <v>0</v>
      </c>
      <c r="AI674">
        <v>2</v>
      </c>
      <c r="AJ674">
        <v>0</v>
      </c>
      <c r="AK674" t="s">
        <v>476</v>
      </c>
      <c r="AL674">
        <v>31.924489000000001</v>
      </c>
      <c r="AM674" t="s">
        <v>477</v>
      </c>
      <c r="AN674">
        <v>-101.0445</v>
      </c>
      <c r="AQ674" t="s">
        <v>129</v>
      </c>
      <c r="AR674">
        <v>86</v>
      </c>
      <c r="AS674">
        <v>-21</v>
      </c>
      <c r="AT674">
        <v>192</v>
      </c>
      <c r="BB674" t="str">
        <f t="shared" si="80"/>
        <v>1200</v>
      </c>
      <c r="BC674">
        <v>1</v>
      </c>
      <c r="BD674" t="str">
        <f t="shared" si="81"/>
        <v xml:space="preserve">N745MB  </v>
      </c>
      <c r="BE674">
        <v>1</v>
      </c>
      <c r="BG674">
        <v>0</v>
      </c>
      <c r="BH674">
        <v>0</v>
      </c>
      <c r="BI674">
        <v>0</v>
      </c>
      <c r="BL674" t="s">
        <v>130</v>
      </c>
      <c r="BM674">
        <v>1</v>
      </c>
      <c r="BN674">
        <v>0</v>
      </c>
      <c r="BO674">
        <v>0</v>
      </c>
      <c r="BP674">
        <v>0</v>
      </c>
      <c r="BT674">
        <v>0</v>
      </c>
      <c r="BU674">
        <v>0</v>
      </c>
      <c r="CE674" t="str">
        <f>"20:24:05.404"</f>
        <v>20:24:05.404</v>
      </c>
      <c r="CF674">
        <v>403898569</v>
      </c>
      <c r="CS674">
        <v>0</v>
      </c>
      <c r="CT674">
        <v>2</v>
      </c>
      <c r="CU674">
        <v>0</v>
      </c>
      <c r="CV674">
        <v>2</v>
      </c>
      <c r="CW674">
        <v>0</v>
      </c>
      <c r="CX674">
        <v>2</v>
      </c>
      <c r="CY674">
        <v>7</v>
      </c>
      <c r="CZ674" t="s">
        <v>131</v>
      </c>
      <c r="DA674">
        <v>116</v>
      </c>
      <c r="DB674">
        <v>3</v>
      </c>
      <c r="DC674" t="s">
        <v>132</v>
      </c>
      <c r="DD674" t="s">
        <v>133</v>
      </c>
      <c r="DG674">
        <v>8352296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1</v>
      </c>
      <c r="DQ674">
        <v>0</v>
      </c>
      <c r="DR674">
        <v>0</v>
      </c>
      <c r="DS674">
        <v>0</v>
      </c>
    </row>
    <row r="675" spans="1:123" x14ac:dyDescent="0.25">
      <c r="A675" t="str">
        <f>"11/29/2023 20:24:05.696"</f>
        <v>11/29/2023 20:24:05.696</v>
      </c>
      <c r="C675" t="str">
        <f t="shared" si="82"/>
        <v>FFDF53C0</v>
      </c>
      <c r="D675" t="s">
        <v>135</v>
      </c>
      <c r="E675">
        <v>31</v>
      </c>
      <c r="H675">
        <v>285</v>
      </c>
      <c r="I675" t="s">
        <v>136</v>
      </c>
      <c r="J675" t="s">
        <v>137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"20:24:05.398"</f>
        <v>20:24:05.398</v>
      </c>
      <c r="T675" t="str">
        <f>"20:24:05.298"</f>
        <v>20:24:05.298</v>
      </c>
      <c r="U675" t="str">
        <f t="shared" si="79"/>
        <v>AA0632</v>
      </c>
      <c r="V675">
        <v>0</v>
      </c>
      <c r="W675">
        <v>0</v>
      </c>
      <c r="X675">
        <v>2</v>
      </c>
      <c r="Y675">
        <v>0</v>
      </c>
      <c r="AA675">
        <v>0</v>
      </c>
      <c r="AB675">
        <v>9</v>
      </c>
      <c r="AC675">
        <v>3</v>
      </c>
      <c r="AD675">
        <v>0</v>
      </c>
      <c r="AE675">
        <v>10</v>
      </c>
      <c r="AF675" t="s">
        <v>126</v>
      </c>
      <c r="AG675">
        <v>0</v>
      </c>
      <c r="AH675">
        <v>0</v>
      </c>
      <c r="AI675">
        <v>2</v>
      </c>
      <c r="AJ675">
        <v>0</v>
      </c>
      <c r="AK675" t="s">
        <v>476</v>
      </c>
      <c r="AL675">
        <v>31.924489000000001</v>
      </c>
      <c r="AM675" t="s">
        <v>477</v>
      </c>
      <c r="AN675">
        <v>-101.0445</v>
      </c>
      <c r="AQ675" t="s">
        <v>129</v>
      </c>
      <c r="AR675">
        <v>86</v>
      </c>
      <c r="AS675">
        <v>-21</v>
      </c>
      <c r="AT675">
        <v>192</v>
      </c>
      <c r="BB675" t="str">
        <f t="shared" si="80"/>
        <v>1200</v>
      </c>
      <c r="BC675">
        <v>1</v>
      </c>
      <c r="BD675" t="str">
        <f t="shared" si="81"/>
        <v xml:space="preserve">N745MB  </v>
      </c>
      <c r="BE675">
        <v>1</v>
      </c>
      <c r="BG675">
        <v>0</v>
      </c>
      <c r="BH675">
        <v>0</v>
      </c>
      <c r="BI675">
        <v>0</v>
      </c>
      <c r="BL675" t="s">
        <v>130</v>
      </c>
      <c r="BM675">
        <v>1</v>
      </c>
      <c r="BN675">
        <v>0</v>
      </c>
      <c r="BO675">
        <v>0</v>
      </c>
      <c r="BP675">
        <v>0</v>
      </c>
      <c r="BT675">
        <v>0</v>
      </c>
      <c r="BU675">
        <v>0</v>
      </c>
      <c r="CE675" t="str">
        <f>"20:24:05.404"</f>
        <v>20:24:05.404</v>
      </c>
      <c r="CF675">
        <v>403898569</v>
      </c>
      <c r="CS675">
        <v>0</v>
      </c>
      <c r="CT675">
        <v>2</v>
      </c>
      <c r="CU675">
        <v>0</v>
      </c>
      <c r="CV675">
        <v>2</v>
      </c>
      <c r="CW675">
        <v>0</v>
      </c>
      <c r="CX675">
        <v>2</v>
      </c>
      <c r="CY675">
        <v>7</v>
      </c>
      <c r="CZ675" t="s">
        <v>131</v>
      </c>
      <c r="DA675">
        <v>116</v>
      </c>
      <c r="DB675">
        <v>3</v>
      </c>
      <c r="DC675" t="s">
        <v>132</v>
      </c>
      <c r="DD675" t="s">
        <v>133</v>
      </c>
      <c r="DG675">
        <v>8352296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1</v>
      </c>
      <c r="DQ675">
        <v>0</v>
      </c>
      <c r="DR675">
        <v>0</v>
      </c>
      <c r="DS675">
        <v>0</v>
      </c>
    </row>
    <row r="676" spans="1:123" x14ac:dyDescent="0.25">
      <c r="A676" t="str">
        <f>"11/29/2023 20:24:05.758"</f>
        <v>11/29/2023 20:24:05.758</v>
      </c>
      <c r="C676" t="str">
        <f t="shared" si="82"/>
        <v>FFDF53C0</v>
      </c>
      <c r="D676" t="s">
        <v>123</v>
      </c>
      <c r="E676">
        <v>1</v>
      </c>
      <c r="F676">
        <v>1001</v>
      </c>
      <c r="G676" t="s">
        <v>134</v>
      </c>
      <c r="J676" t="s">
        <v>125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"20:24:05.398"</f>
        <v>20:24:05.398</v>
      </c>
      <c r="T676" t="str">
        <f>"20:24:05.298"</f>
        <v>20:24:05.298</v>
      </c>
      <c r="U676" t="str">
        <f t="shared" si="79"/>
        <v>AA0632</v>
      </c>
      <c r="V676">
        <v>0</v>
      </c>
      <c r="W676">
        <v>0</v>
      </c>
      <c r="X676">
        <v>2</v>
      </c>
      <c r="Y676">
        <v>0</v>
      </c>
      <c r="AA676">
        <v>0</v>
      </c>
      <c r="AB676">
        <v>9</v>
      </c>
      <c r="AC676">
        <v>3</v>
      </c>
      <c r="AD676">
        <v>0</v>
      </c>
      <c r="AE676">
        <v>10</v>
      </c>
      <c r="AF676" t="s">
        <v>126</v>
      </c>
      <c r="AG676">
        <v>0</v>
      </c>
      <c r="AH676">
        <v>0</v>
      </c>
      <c r="AI676">
        <v>2</v>
      </c>
      <c r="AJ676">
        <v>0</v>
      </c>
      <c r="AK676" t="s">
        <v>476</v>
      </c>
      <c r="AL676">
        <v>31.924489000000001</v>
      </c>
      <c r="AM676" t="s">
        <v>477</v>
      </c>
      <c r="AN676">
        <v>-101.0445</v>
      </c>
      <c r="AQ676" t="s">
        <v>129</v>
      </c>
      <c r="AR676">
        <v>86</v>
      </c>
      <c r="AS676">
        <v>-21</v>
      </c>
      <c r="AT676">
        <v>192</v>
      </c>
      <c r="BB676" t="str">
        <f t="shared" si="80"/>
        <v>1200</v>
      </c>
      <c r="BC676">
        <v>1</v>
      </c>
      <c r="BD676" t="str">
        <f t="shared" si="81"/>
        <v xml:space="preserve">N745MB  </v>
      </c>
      <c r="BE676">
        <v>1</v>
      </c>
      <c r="BG676">
        <v>0</v>
      </c>
      <c r="BH676">
        <v>0</v>
      </c>
      <c r="BI676">
        <v>0</v>
      </c>
      <c r="BL676" t="s">
        <v>130</v>
      </c>
      <c r="BM676">
        <v>1</v>
      </c>
      <c r="BN676">
        <v>0</v>
      </c>
      <c r="BO676">
        <v>0</v>
      </c>
      <c r="BP676">
        <v>0</v>
      </c>
      <c r="BT676">
        <v>0</v>
      </c>
      <c r="BU676">
        <v>0</v>
      </c>
      <c r="CE676" t="str">
        <f>"20:24:05.404"</f>
        <v>20:24:05.404</v>
      </c>
      <c r="CF676">
        <v>403898569</v>
      </c>
      <c r="CS676">
        <v>0</v>
      </c>
      <c r="CT676">
        <v>2</v>
      </c>
      <c r="CU676">
        <v>0</v>
      </c>
      <c r="CV676">
        <v>2</v>
      </c>
      <c r="CW676">
        <v>0</v>
      </c>
      <c r="CX676">
        <v>2</v>
      </c>
      <c r="CY676">
        <v>7</v>
      </c>
      <c r="CZ676" t="s">
        <v>131</v>
      </c>
      <c r="DA676">
        <v>116</v>
      </c>
      <c r="DB676">
        <v>3</v>
      </c>
      <c r="DC676" t="s">
        <v>132</v>
      </c>
      <c r="DD676" t="s">
        <v>133</v>
      </c>
      <c r="DG676">
        <v>8352296</v>
      </c>
      <c r="DI676">
        <v>0</v>
      </c>
      <c r="DJ676">
        <v>0</v>
      </c>
      <c r="DK676">
        <v>1</v>
      </c>
      <c r="DL676">
        <v>0</v>
      </c>
      <c r="DM676">
        <v>0</v>
      </c>
      <c r="DN676">
        <v>0</v>
      </c>
      <c r="DO676">
        <v>0</v>
      </c>
      <c r="DP676">
        <v>1</v>
      </c>
      <c r="DQ676">
        <v>0</v>
      </c>
      <c r="DR676">
        <v>0</v>
      </c>
      <c r="DS676">
        <v>0</v>
      </c>
    </row>
    <row r="677" spans="1:123" x14ac:dyDescent="0.25">
      <c r="A677" t="str">
        <f>"11/29/2023 20:24:05.758"</f>
        <v>11/29/2023 20:24:05.758</v>
      </c>
      <c r="C677" t="str">
        <f t="shared" si="82"/>
        <v>FFDF53C0</v>
      </c>
      <c r="D677" t="s">
        <v>123</v>
      </c>
      <c r="E677">
        <v>14</v>
      </c>
      <c r="F677">
        <v>1014</v>
      </c>
      <c r="G677" t="s">
        <v>124</v>
      </c>
      <c r="J677" t="s">
        <v>125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"20:24:05.398"</f>
        <v>20:24:05.398</v>
      </c>
      <c r="T677" t="str">
        <f>"20:24:05.298"</f>
        <v>20:24:05.298</v>
      </c>
      <c r="U677" t="str">
        <f t="shared" si="79"/>
        <v>AA0632</v>
      </c>
      <c r="V677">
        <v>0</v>
      </c>
      <c r="W677">
        <v>0</v>
      </c>
      <c r="X677">
        <v>2</v>
      </c>
      <c r="Y677">
        <v>0</v>
      </c>
      <c r="AA677">
        <v>0</v>
      </c>
      <c r="AB677">
        <v>9</v>
      </c>
      <c r="AC677">
        <v>3</v>
      </c>
      <c r="AD677">
        <v>0</v>
      </c>
      <c r="AE677">
        <v>10</v>
      </c>
      <c r="AF677" t="s">
        <v>126</v>
      </c>
      <c r="AG677">
        <v>0</v>
      </c>
      <c r="AH677">
        <v>0</v>
      </c>
      <c r="AI677">
        <v>2</v>
      </c>
      <c r="AJ677">
        <v>0</v>
      </c>
      <c r="AK677" t="s">
        <v>476</v>
      </c>
      <c r="AL677">
        <v>31.924489000000001</v>
      </c>
      <c r="AM677" t="s">
        <v>477</v>
      </c>
      <c r="AN677">
        <v>-101.0445</v>
      </c>
      <c r="AQ677" t="s">
        <v>129</v>
      </c>
      <c r="AR677">
        <v>86</v>
      </c>
      <c r="AS677">
        <v>-21</v>
      </c>
      <c r="AT677">
        <v>192</v>
      </c>
      <c r="BB677" t="str">
        <f t="shared" si="80"/>
        <v>1200</v>
      </c>
      <c r="BC677">
        <v>1</v>
      </c>
      <c r="BD677" t="str">
        <f t="shared" si="81"/>
        <v xml:space="preserve">N745MB  </v>
      </c>
      <c r="BE677">
        <v>1</v>
      </c>
      <c r="BG677">
        <v>0</v>
      </c>
      <c r="BH677">
        <v>0</v>
      </c>
      <c r="BI677">
        <v>0</v>
      </c>
      <c r="BL677" t="s">
        <v>130</v>
      </c>
      <c r="BM677">
        <v>1</v>
      </c>
      <c r="BN677">
        <v>0</v>
      </c>
      <c r="BO677">
        <v>0</v>
      </c>
      <c r="BP677">
        <v>0</v>
      </c>
      <c r="BT677">
        <v>0</v>
      </c>
      <c r="BU677">
        <v>0</v>
      </c>
      <c r="CE677" t="str">
        <f>"20:24:05.404"</f>
        <v>20:24:05.404</v>
      </c>
      <c r="CF677">
        <v>403898569</v>
      </c>
      <c r="CS677">
        <v>0</v>
      </c>
      <c r="CT677">
        <v>2</v>
      </c>
      <c r="CU677">
        <v>0</v>
      </c>
      <c r="CV677">
        <v>2</v>
      </c>
      <c r="CW677">
        <v>0</v>
      </c>
      <c r="CX677">
        <v>2</v>
      </c>
      <c r="CY677">
        <v>7</v>
      </c>
      <c r="CZ677" t="s">
        <v>131</v>
      </c>
      <c r="DA677">
        <v>116</v>
      </c>
      <c r="DB677">
        <v>3</v>
      </c>
      <c r="DC677" t="s">
        <v>132</v>
      </c>
      <c r="DD677" t="s">
        <v>133</v>
      </c>
      <c r="DG677">
        <v>8352296</v>
      </c>
      <c r="DI677">
        <v>0</v>
      </c>
      <c r="DJ677">
        <v>0</v>
      </c>
      <c r="DK677">
        <v>1</v>
      </c>
      <c r="DL677">
        <v>0</v>
      </c>
      <c r="DM677">
        <v>0</v>
      </c>
      <c r="DN677">
        <v>0</v>
      </c>
      <c r="DO677">
        <v>0</v>
      </c>
      <c r="DP677">
        <v>1</v>
      </c>
      <c r="DQ677">
        <v>0</v>
      </c>
      <c r="DR677">
        <v>0</v>
      </c>
      <c r="DS677">
        <v>0</v>
      </c>
    </row>
    <row r="678" spans="1:123" x14ac:dyDescent="0.25">
      <c r="A678" t="str">
        <f>"11/29/2023 20:24:07.039"</f>
        <v>11/29/2023 20:24:07.039</v>
      </c>
      <c r="C678" t="str">
        <f t="shared" si="82"/>
        <v>FFDF53C0</v>
      </c>
      <c r="D678" t="s">
        <v>123</v>
      </c>
      <c r="E678">
        <v>14</v>
      </c>
      <c r="F678">
        <v>1014</v>
      </c>
      <c r="G678" t="s">
        <v>124</v>
      </c>
      <c r="J678" t="s">
        <v>125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"20:24:06.516"</f>
        <v>20:24:06.516</v>
      </c>
      <c r="T678" t="str">
        <f>"20:24:06.216"</f>
        <v>20:24:06.216</v>
      </c>
      <c r="U678" t="str">
        <f t="shared" si="79"/>
        <v>AA0632</v>
      </c>
      <c r="V678">
        <v>0</v>
      </c>
      <c r="W678">
        <v>0</v>
      </c>
      <c r="X678">
        <v>2</v>
      </c>
      <c r="Y678">
        <v>0</v>
      </c>
      <c r="AA678">
        <v>0</v>
      </c>
      <c r="AB678">
        <v>9</v>
      </c>
      <c r="AC678">
        <v>3</v>
      </c>
      <c r="AD678">
        <v>0</v>
      </c>
      <c r="AE678">
        <v>10</v>
      </c>
      <c r="AF678" t="s">
        <v>126</v>
      </c>
      <c r="AG678">
        <v>0</v>
      </c>
      <c r="AH678">
        <v>0</v>
      </c>
      <c r="AI678">
        <v>2</v>
      </c>
      <c r="AJ678">
        <v>0</v>
      </c>
      <c r="AK678" t="s">
        <v>478</v>
      </c>
      <c r="AL678">
        <v>31.92436</v>
      </c>
      <c r="AM678" t="s">
        <v>479</v>
      </c>
      <c r="AN678">
        <v>-101.044006</v>
      </c>
      <c r="AQ678" t="s">
        <v>129</v>
      </c>
      <c r="AR678">
        <v>87</v>
      </c>
      <c r="AS678">
        <v>-20</v>
      </c>
      <c r="AT678">
        <v>256</v>
      </c>
      <c r="BB678" t="str">
        <f t="shared" si="80"/>
        <v>1200</v>
      </c>
      <c r="BC678">
        <v>1</v>
      </c>
      <c r="BD678" t="str">
        <f t="shared" si="81"/>
        <v xml:space="preserve">N745MB  </v>
      </c>
      <c r="BE678">
        <v>1</v>
      </c>
      <c r="BG678">
        <v>0</v>
      </c>
      <c r="BH678">
        <v>0</v>
      </c>
      <c r="BI678">
        <v>0</v>
      </c>
      <c r="BL678" t="s">
        <v>130</v>
      </c>
      <c r="BM678">
        <v>1</v>
      </c>
      <c r="BN678">
        <v>0</v>
      </c>
      <c r="BO678">
        <v>0</v>
      </c>
      <c r="BP678">
        <v>0</v>
      </c>
      <c r="BT678">
        <v>0</v>
      </c>
      <c r="BU678">
        <v>0</v>
      </c>
      <c r="CE678" t="str">
        <f>"20:24:06.518"</f>
        <v>20:24:06.518</v>
      </c>
      <c r="CF678">
        <v>517821468</v>
      </c>
      <c r="CS678">
        <v>0</v>
      </c>
      <c r="CT678">
        <v>2</v>
      </c>
      <c r="CU678">
        <v>0</v>
      </c>
      <c r="CV678">
        <v>2</v>
      </c>
      <c r="CW678">
        <v>0</v>
      </c>
      <c r="CX678">
        <v>4</v>
      </c>
      <c r="CY678">
        <v>7</v>
      </c>
      <c r="CZ678" t="s">
        <v>131</v>
      </c>
      <c r="DA678">
        <v>116</v>
      </c>
      <c r="DB678">
        <v>3</v>
      </c>
      <c r="DC678" t="s">
        <v>132</v>
      </c>
      <c r="DD678" t="s">
        <v>133</v>
      </c>
      <c r="DG678">
        <v>8352893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1</v>
      </c>
      <c r="DQ678">
        <v>0</v>
      </c>
      <c r="DR678">
        <v>0</v>
      </c>
      <c r="DS678">
        <v>0</v>
      </c>
    </row>
    <row r="679" spans="1:123" x14ac:dyDescent="0.25">
      <c r="A679" t="str">
        <f>"11/29/2023 20:24:09.477"</f>
        <v>11/29/2023 20:24:09.477</v>
      </c>
      <c r="C679" t="str">
        <f t="shared" si="82"/>
        <v>FFDF53C0</v>
      </c>
      <c r="D679" t="s">
        <v>123</v>
      </c>
      <c r="E679">
        <v>14</v>
      </c>
      <c r="F679">
        <v>1014</v>
      </c>
      <c r="G679" t="s">
        <v>124</v>
      </c>
      <c r="J679" t="s">
        <v>125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"20:24:09.047"</f>
        <v>20:24:09.047</v>
      </c>
      <c r="T679" t="str">
        <f>"20:24:08.847"</f>
        <v>20:24:08.847</v>
      </c>
      <c r="U679" t="str">
        <f t="shared" si="79"/>
        <v>AA0632</v>
      </c>
      <c r="V679">
        <v>0</v>
      </c>
      <c r="W679">
        <v>0</v>
      </c>
      <c r="X679">
        <v>2</v>
      </c>
      <c r="Y679">
        <v>0</v>
      </c>
      <c r="AA679">
        <v>0</v>
      </c>
      <c r="AB679">
        <v>9</v>
      </c>
      <c r="AC679">
        <v>3</v>
      </c>
      <c r="AD679">
        <v>0</v>
      </c>
      <c r="AE679">
        <v>10</v>
      </c>
      <c r="AF679" t="s">
        <v>126</v>
      </c>
      <c r="AG679">
        <v>0</v>
      </c>
      <c r="AH679">
        <v>0</v>
      </c>
      <c r="AI679">
        <v>2</v>
      </c>
      <c r="AJ679">
        <v>0</v>
      </c>
      <c r="AK679" t="s">
        <v>480</v>
      </c>
      <c r="AL679">
        <v>31.924167000000001</v>
      </c>
      <c r="AM679" t="s">
        <v>481</v>
      </c>
      <c r="AN679">
        <v>-101.042805</v>
      </c>
      <c r="AQ679" t="s">
        <v>129</v>
      </c>
      <c r="AR679">
        <v>88</v>
      </c>
      <c r="AS679">
        <v>-15</v>
      </c>
      <c r="AT679">
        <v>192</v>
      </c>
      <c r="BB679" t="str">
        <f t="shared" si="80"/>
        <v>1200</v>
      </c>
      <c r="BC679">
        <v>1</v>
      </c>
      <c r="BD679" t="str">
        <f t="shared" si="81"/>
        <v xml:space="preserve">N745MB  </v>
      </c>
      <c r="BE679">
        <v>1</v>
      </c>
      <c r="BG679">
        <v>0</v>
      </c>
      <c r="BH679">
        <v>0</v>
      </c>
      <c r="BI679">
        <v>0</v>
      </c>
      <c r="BL679" t="s">
        <v>130</v>
      </c>
      <c r="BM679">
        <v>1</v>
      </c>
      <c r="BN679">
        <v>0</v>
      </c>
      <c r="BO679">
        <v>0</v>
      </c>
      <c r="BP679">
        <v>0</v>
      </c>
      <c r="BT679">
        <v>0</v>
      </c>
      <c r="BU679">
        <v>0</v>
      </c>
      <c r="CE679" t="str">
        <f>"20:24:09.048"</f>
        <v>20:24:09.048</v>
      </c>
      <c r="CF679">
        <v>47653010</v>
      </c>
      <c r="CS679">
        <v>0</v>
      </c>
      <c r="CT679">
        <v>2</v>
      </c>
      <c r="CU679">
        <v>0</v>
      </c>
      <c r="CV679">
        <v>2</v>
      </c>
      <c r="CW679">
        <v>0</v>
      </c>
      <c r="CX679">
        <v>3</v>
      </c>
      <c r="CY679">
        <v>7</v>
      </c>
      <c r="CZ679" t="s">
        <v>131</v>
      </c>
      <c r="DA679">
        <v>116</v>
      </c>
      <c r="DB679">
        <v>3</v>
      </c>
      <c r="DC679" t="s">
        <v>132</v>
      </c>
      <c r="DD679" t="s">
        <v>133</v>
      </c>
      <c r="DG679">
        <v>8354163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1</v>
      </c>
      <c r="DQ679">
        <v>0</v>
      </c>
      <c r="DR679">
        <v>0</v>
      </c>
      <c r="DS679">
        <v>0</v>
      </c>
    </row>
    <row r="680" spans="1:123" x14ac:dyDescent="0.25">
      <c r="A680" t="str">
        <f>"11/29/2023 20:24:09.477"</f>
        <v>11/29/2023 20:24:09.477</v>
      </c>
      <c r="C680" t="str">
        <f t="shared" si="82"/>
        <v>FFDF53C0</v>
      </c>
      <c r="D680" t="s">
        <v>138</v>
      </c>
      <c r="E680">
        <v>3</v>
      </c>
      <c r="H680">
        <v>160</v>
      </c>
      <c r="I680" t="s">
        <v>124</v>
      </c>
      <c r="J680" t="s">
        <v>139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"20:24:09.047"</f>
        <v>20:24:09.047</v>
      </c>
      <c r="T680" t="str">
        <f>"20:24:08.847"</f>
        <v>20:24:08.847</v>
      </c>
      <c r="U680" t="str">
        <f t="shared" si="79"/>
        <v>AA0632</v>
      </c>
      <c r="V680">
        <v>0</v>
      </c>
      <c r="W680">
        <v>0</v>
      </c>
      <c r="X680">
        <v>2</v>
      </c>
      <c r="Y680">
        <v>0</v>
      </c>
      <c r="AA680">
        <v>0</v>
      </c>
      <c r="AB680">
        <v>9</v>
      </c>
      <c r="AC680">
        <v>3</v>
      </c>
      <c r="AD680">
        <v>0</v>
      </c>
      <c r="AE680">
        <v>10</v>
      </c>
      <c r="AF680" t="s">
        <v>126</v>
      </c>
      <c r="AG680">
        <v>0</v>
      </c>
      <c r="AH680">
        <v>0</v>
      </c>
      <c r="AI680">
        <v>2</v>
      </c>
      <c r="AJ680">
        <v>0</v>
      </c>
      <c r="AK680" t="s">
        <v>480</v>
      </c>
      <c r="AL680">
        <v>31.924167000000001</v>
      </c>
      <c r="AM680" t="s">
        <v>481</v>
      </c>
      <c r="AN680">
        <v>-101.042805</v>
      </c>
      <c r="AQ680" t="s">
        <v>129</v>
      </c>
      <c r="AR680">
        <v>88</v>
      </c>
      <c r="AS680">
        <v>-15</v>
      </c>
      <c r="AT680">
        <v>192</v>
      </c>
      <c r="BB680" t="str">
        <f t="shared" si="80"/>
        <v>1200</v>
      </c>
      <c r="BC680">
        <v>1</v>
      </c>
      <c r="BD680" t="str">
        <f t="shared" si="81"/>
        <v xml:space="preserve">N745MB  </v>
      </c>
      <c r="BE680">
        <v>1</v>
      </c>
      <c r="BG680">
        <v>0</v>
      </c>
      <c r="BH680">
        <v>0</v>
      </c>
      <c r="BI680">
        <v>0</v>
      </c>
      <c r="BL680" t="s">
        <v>130</v>
      </c>
      <c r="BM680">
        <v>1</v>
      </c>
      <c r="BN680">
        <v>0</v>
      </c>
      <c r="BO680">
        <v>0</v>
      </c>
      <c r="BP680">
        <v>0</v>
      </c>
      <c r="BT680">
        <v>0</v>
      </c>
      <c r="BU680">
        <v>0</v>
      </c>
      <c r="CE680" t="str">
        <f>"20:24:09.048"</f>
        <v>20:24:09.048</v>
      </c>
      <c r="CF680">
        <v>47653010</v>
      </c>
      <c r="CS680">
        <v>0</v>
      </c>
      <c r="CT680">
        <v>2</v>
      </c>
      <c r="CU680">
        <v>0</v>
      </c>
      <c r="CV680">
        <v>2</v>
      </c>
      <c r="CW680">
        <v>0</v>
      </c>
      <c r="CX680">
        <v>3</v>
      </c>
      <c r="CY680">
        <v>7</v>
      </c>
      <c r="CZ680" t="s">
        <v>131</v>
      </c>
      <c r="DA680">
        <v>116</v>
      </c>
      <c r="DB680">
        <v>3</v>
      </c>
      <c r="DC680" t="s">
        <v>132</v>
      </c>
      <c r="DD680" t="s">
        <v>133</v>
      </c>
      <c r="DG680">
        <v>8354163</v>
      </c>
      <c r="DI680">
        <v>0</v>
      </c>
      <c r="DJ680">
        <v>0</v>
      </c>
      <c r="DK680">
        <v>1</v>
      </c>
      <c r="DL680">
        <v>0</v>
      </c>
      <c r="DM680">
        <v>0</v>
      </c>
      <c r="DN680">
        <v>0</v>
      </c>
      <c r="DO680">
        <v>0</v>
      </c>
      <c r="DP680">
        <v>1</v>
      </c>
      <c r="DQ680">
        <v>0</v>
      </c>
      <c r="DR680">
        <v>0</v>
      </c>
      <c r="DS680">
        <v>0</v>
      </c>
    </row>
    <row r="681" spans="1:123" x14ac:dyDescent="0.25">
      <c r="A681" t="str">
        <f>"11/29/2023 20:24:10.961"</f>
        <v>11/29/2023 20:24:10.961</v>
      </c>
      <c r="C681" t="str">
        <f t="shared" si="82"/>
        <v>FFDF53C0</v>
      </c>
      <c r="D681" t="s">
        <v>123</v>
      </c>
      <c r="E681">
        <v>14</v>
      </c>
      <c r="F681">
        <v>1014</v>
      </c>
      <c r="G681" t="s">
        <v>124</v>
      </c>
      <c r="J681" t="s">
        <v>125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"20:24:10.680"</f>
        <v>20:24:10.680</v>
      </c>
      <c r="T681" t="str">
        <f>"20:24:10.580"</f>
        <v>20:24:10.580</v>
      </c>
      <c r="U681" t="str">
        <f t="shared" si="79"/>
        <v>AA0632</v>
      </c>
      <c r="V681">
        <v>0</v>
      </c>
      <c r="W681">
        <v>0</v>
      </c>
      <c r="X681">
        <v>2</v>
      </c>
      <c r="Y681">
        <v>0</v>
      </c>
      <c r="AA681">
        <v>0</v>
      </c>
      <c r="AB681">
        <v>9</v>
      </c>
      <c r="AC681">
        <v>3</v>
      </c>
      <c r="AD681">
        <v>0</v>
      </c>
      <c r="AE681">
        <v>10</v>
      </c>
      <c r="AF681" t="s">
        <v>126</v>
      </c>
      <c r="AG681">
        <v>0</v>
      </c>
      <c r="AH681">
        <v>0</v>
      </c>
      <c r="AI681">
        <v>2</v>
      </c>
      <c r="AJ681">
        <v>0</v>
      </c>
      <c r="AK681" t="s">
        <v>482</v>
      </c>
      <c r="AL681">
        <v>31.924081000000001</v>
      </c>
      <c r="AM681" t="s">
        <v>483</v>
      </c>
      <c r="AN681">
        <v>-101.041968</v>
      </c>
      <c r="AQ681" t="s">
        <v>129</v>
      </c>
      <c r="AR681">
        <v>89</v>
      </c>
      <c r="AS681">
        <v>-13</v>
      </c>
      <c r="AT681">
        <v>256</v>
      </c>
      <c r="BB681" t="str">
        <f t="shared" si="80"/>
        <v>1200</v>
      </c>
      <c r="BC681">
        <v>1</v>
      </c>
      <c r="BD681" t="str">
        <f t="shared" si="81"/>
        <v xml:space="preserve">N745MB  </v>
      </c>
      <c r="BE681">
        <v>1</v>
      </c>
      <c r="BG681">
        <v>0</v>
      </c>
      <c r="BH681">
        <v>0</v>
      </c>
      <c r="BI681">
        <v>0</v>
      </c>
      <c r="BL681" t="s">
        <v>130</v>
      </c>
      <c r="BM681">
        <v>1</v>
      </c>
      <c r="BN681">
        <v>0</v>
      </c>
      <c r="BO681">
        <v>0</v>
      </c>
      <c r="BP681">
        <v>0</v>
      </c>
      <c r="BT681">
        <v>0</v>
      </c>
      <c r="BU681">
        <v>0</v>
      </c>
      <c r="CE681" t="str">
        <f>"20:24:10.686"</f>
        <v>20:24:10.686</v>
      </c>
      <c r="CF681">
        <v>685541120</v>
      </c>
      <c r="CS681">
        <v>0</v>
      </c>
      <c r="CT681">
        <v>2</v>
      </c>
      <c r="CU681">
        <v>0</v>
      </c>
      <c r="CV681">
        <v>2</v>
      </c>
      <c r="CW681">
        <v>0</v>
      </c>
      <c r="CX681">
        <v>3</v>
      </c>
      <c r="CY681">
        <v>7</v>
      </c>
      <c r="CZ681" t="s">
        <v>131</v>
      </c>
      <c r="DA681">
        <v>116</v>
      </c>
      <c r="DB681">
        <v>3</v>
      </c>
      <c r="DC681" t="s">
        <v>132</v>
      </c>
      <c r="DD681" t="s">
        <v>133</v>
      </c>
      <c r="DG681">
        <v>8355053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1</v>
      </c>
      <c r="DQ681">
        <v>0</v>
      </c>
      <c r="DR681">
        <v>0</v>
      </c>
      <c r="DS681">
        <v>0</v>
      </c>
    </row>
    <row r="682" spans="1:123" x14ac:dyDescent="0.25">
      <c r="A682" t="str">
        <f>"11/29/2023 20:24:10.961"</f>
        <v>11/29/2023 20:24:10.961</v>
      </c>
      <c r="C682" t="str">
        <f t="shared" si="82"/>
        <v>FFDF53C0</v>
      </c>
      <c r="D682" t="s">
        <v>135</v>
      </c>
      <c r="E682">
        <v>31</v>
      </c>
      <c r="H682">
        <v>285</v>
      </c>
      <c r="I682" t="s">
        <v>136</v>
      </c>
      <c r="J682" t="s">
        <v>137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"20:24:10.680"</f>
        <v>20:24:10.680</v>
      </c>
      <c r="T682" t="str">
        <f>"20:24:10.580"</f>
        <v>20:24:10.580</v>
      </c>
      <c r="U682" t="str">
        <f t="shared" si="79"/>
        <v>AA0632</v>
      </c>
      <c r="V682">
        <v>0</v>
      </c>
      <c r="W682">
        <v>0</v>
      </c>
      <c r="X682">
        <v>2</v>
      </c>
      <c r="Y682">
        <v>0</v>
      </c>
      <c r="AA682">
        <v>0</v>
      </c>
      <c r="AB682">
        <v>9</v>
      </c>
      <c r="AC682">
        <v>3</v>
      </c>
      <c r="AD682">
        <v>0</v>
      </c>
      <c r="AE682">
        <v>10</v>
      </c>
      <c r="AF682" t="s">
        <v>126</v>
      </c>
      <c r="AG682">
        <v>0</v>
      </c>
      <c r="AH682">
        <v>0</v>
      </c>
      <c r="AI682">
        <v>2</v>
      </c>
      <c r="AJ682">
        <v>0</v>
      </c>
      <c r="AK682" t="s">
        <v>482</v>
      </c>
      <c r="AL682">
        <v>31.924081000000001</v>
      </c>
      <c r="AM682" t="s">
        <v>483</v>
      </c>
      <c r="AN682">
        <v>-101.041968</v>
      </c>
      <c r="AQ682" t="s">
        <v>129</v>
      </c>
      <c r="AR682">
        <v>89</v>
      </c>
      <c r="AS682">
        <v>-13</v>
      </c>
      <c r="AT682">
        <v>256</v>
      </c>
      <c r="BB682" t="str">
        <f t="shared" si="80"/>
        <v>1200</v>
      </c>
      <c r="BC682">
        <v>1</v>
      </c>
      <c r="BD682" t="str">
        <f t="shared" si="81"/>
        <v xml:space="preserve">N745MB  </v>
      </c>
      <c r="BE682">
        <v>1</v>
      </c>
      <c r="BG682">
        <v>0</v>
      </c>
      <c r="BH682">
        <v>0</v>
      </c>
      <c r="BI682">
        <v>0</v>
      </c>
      <c r="BL682" t="s">
        <v>130</v>
      </c>
      <c r="BM682">
        <v>1</v>
      </c>
      <c r="BN682">
        <v>0</v>
      </c>
      <c r="BO682">
        <v>0</v>
      </c>
      <c r="BP682">
        <v>0</v>
      </c>
      <c r="BT682">
        <v>0</v>
      </c>
      <c r="BU682">
        <v>0</v>
      </c>
      <c r="CE682" t="str">
        <f>"20:24:10.686"</f>
        <v>20:24:10.686</v>
      </c>
      <c r="CF682">
        <v>685541120</v>
      </c>
      <c r="CS682">
        <v>0</v>
      </c>
      <c r="CT682">
        <v>2</v>
      </c>
      <c r="CU682">
        <v>0</v>
      </c>
      <c r="CV682">
        <v>2</v>
      </c>
      <c r="CW682">
        <v>0</v>
      </c>
      <c r="CX682">
        <v>3</v>
      </c>
      <c r="CY682">
        <v>7</v>
      </c>
      <c r="CZ682" t="s">
        <v>131</v>
      </c>
      <c r="DA682">
        <v>116</v>
      </c>
      <c r="DB682">
        <v>3</v>
      </c>
      <c r="DC682" t="s">
        <v>132</v>
      </c>
      <c r="DD682" t="s">
        <v>133</v>
      </c>
      <c r="DG682">
        <v>8355053</v>
      </c>
      <c r="DI682">
        <v>0</v>
      </c>
      <c r="DJ682">
        <v>0</v>
      </c>
      <c r="DK682">
        <v>1</v>
      </c>
      <c r="DL682">
        <v>0</v>
      </c>
      <c r="DM682">
        <v>0</v>
      </c>
      <c r="DN682">
        <v>0</v>
      </c>
      <c r="DO682">
        <v>0</v>
      </c>
      <c r="DP682">
        <v>1</v>
      </c>
      <c r="DQ682">
        <v>0</v>
      </c>
      <c r="DR682">
        <v>0</v>
      </c>
      <c r="DS682">
        <v>0</v>
      </c>
    </row>
    <row r="683" spans="1:123" x14ac:dyDescent="0.25">
      <c r="A683" t="str">
        <f>"11/29/2023 20:24:11.086"</f>
        <v>11/29/2023 20:24:11.086</v>
      </c>
      <c r="C683" t="str">
        <f t="shared" si="82"/>
        <v>FFDF53C0</v>
      </c>
      <c r="D683" t="s">
        <v>123</v>
      </c>
      <c r="E683">
        <v>1</v>
      </c>
      <c r="F683">
        <v>1001</v>
      </c>
      <c r="G683" t="s">
        <v>134</v>
      </c>
      <c r="J683" t="s">
        <v>125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"20:24:10.680"</f>
        <v>20:24:10.680</v>
      </c>
      <c r="T683" t="str">
        <f>"20:24:10.580"</f>
        <v>20:24:10.580</v>
      </c>
      <c r="U683" t="str">
        <f t="shared" si="79"/>
        <v>AA0632</v>
      </c>
      <c r="V683">
        <v>0</v>
      </c>
      <c r="W683">
        <v>0</v>
      </c>
      <c r="X683">
        <v>2</v>
      </c>
      <c r="Y683">
        <v>0</v>
      </c>
      <c r="AA683">
        <v>0</v>
      </c>
      <c r="AB683">
        <v>9</v>
      </c>
      <c r="AC683">
        <v>3</v>
      </c>
      <c r="AD683">
        <v>0</v>
      </c>
      <c r="AE683">
        <v>10</v>
      </c>
      <c r="AF683" t="s">
        <v>126</v>
      </c>
      <c r="AG683">
        <v>0</v>
      </c>
      <c r="AH683">
        <v>0</v>
      </c>
      <c r="AI683">
        <v>2</v>
      </c>
      <c r="AJ683">
        <v>0</v>
      </c>
      <c r="AK683" t="s">
        <v>482</v>
      </c>
      <c r="AL683">
        <v>31.924081000000001</v>
      </c>
      <c r="AM683" t="s">
        <v>483</v>
      </c>
      <c r="AN683">
        <v>-101.041968</v>
      </c>
      <c r="AQ683" t="s">
        <v>129</v>
      </c>
      <c r="AR683">
        <v>89</v>
      </c>
      <c r="AS683">
        <v>-13</v>
      </c>
      <c r="AT683">
        <v>256</v>
      </c>
      <c r="BB683" t="str">
        <f t="shared" si="80"/>
        <v>1200</v>
      </c>
      <c r="BC683">
        <v>1</v>
      </c>
      <c r="BD683" t="str">
        <f t="shared" si="81"/>
        <v xml:space="preserve">N745MB  </v>
      </c>
      <c r="BE683">
        <v>1</v>
      </c>
      <c r="BG683">
        <v>0</v>
      </c>
      <c r="BH683">
        <v>0</v>
      </c>
      <c r="BI683">
        <v>0</v>
      </c>
      <c r="BL683" t="s">
        <v>130</v>
      </c>
      <c r="BM683">
        <v>1</v>
      </c>
      <c r="BN683">
        <v>0</v>
      </c>
      <c r="BO683">
        <v>0</v>
      </c>
      <c r="BP683">
        <v>0</v>
      </c>
      <c r="BT683">
        <v>0</v>
      </c>
      <c r="BU683">
        <v>0</v>
      </c>
      <c r="CE683" t="str">
        <f>"20:24:10.686"</f>
        <v>20:24:10.686</v>
      </c>
      <c r="CF683">
        <v>685541120</v>
      </c>
      <c r="CS683">
        <v>0</v>
      </c>
      <c r="CT683">
        <v>2</v>
      </c>
      <c r="CU683">
        <v>0</v>
      </c>
      <c r="CV683">
        <v>2</v>
      </c>
      <c r="CW683">
        <v>0</v>
      </c>
      <c r="CX683">
        <v>3</v>
      </c>
      <c r="CY683">
        <v>7</v>
      </c>
      <c r="CZ683" t="s">
        <v>131</v>
      </c>
      <c r="DA683">
        <v>116</v>
      </c>
      <c r="DB683">
        <v>3</v>
      </c>
      <c r="DC683" t="s">
        <v>132</v>
      </c>
      <c r="DD683" t="s">
        <v>133</v>
      </c>
      <c r="DG683">
        <v>8355053</v>
      </c>
      <c r="DI683">
        <v>0</v>
      </c>
      <c r="DJ683">
        <v>0</v>
      </c>
      <c r="DK683">
        <v>1</v>
      </c>
      <c r="DL683">
        <v>0</v>
      </c>
      <c r="DM683">
        <v>0</v>
      </c>
      <c r="DN683">
        <v>0</v>
      </c>
      <c r="DO683">
        <v>0</v>
      </c>
      <c r="DP683">
        <v>1</v>
      </c>
      <c r="DQ683">
        <v>0</v>
      </c>
      <c r="DR683">
        <v>0</v>
      </c>
      <c r="DS683">
        <v>0</v>
      </c>
    </row>
    <row r="684" spans="1:123" x14ac:dyDescent="0.25">
      <c r="A684" t="str">
        <f>"11/29/2023 20:24:11.086"</f>
        <v>11/29/2023 20:24:11.086</v>
      </c>
      <c r="C684" t="str">
        <f t="shared" si="82"/>
        <v>FFDF53C0</v>
      </c>
      <c r="D684" t="s">
        <v>138</v>
      </c>
      <c r="E684">
        <v>3</v>
      </c>
      <c r="H684">
        <v>160</v>
      </c>
      <c r="I684" t="s">
        <v>124</v>
      </c>
      <c r="J684" t="s">
        <v>139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"20:24:10.680"</f>
        <v>20:24:10.680</v>
      </c>
      <c r="T684" t="str">
        <f>"20:24:10.580"</f>
        <v>20:24:10.580</v>
      </c>
      <c r="U684" t="str">
        <f t="shared" si="79"/>
        <v>AA0632</v>
      </c>
      <c r="V684">
        <v>0</v>
      </c>
      <c r="W684">
        <v>0</v>
      </c>
      <c r="X684">
        <v>2</v>
      </c>
      <c r="Y684">
        <v>0</v>
      </c>
      <c r="AA684">
        <v>0</v>
      </c>
      <c r="AB684">
        <v>9</v>
      </c>
      <c r="AC684">
        <v>3</v>
      </c>
      <c r="AD684">
        <v>0</v>
      </c>
      <c r="AE684">
        <v>10</v>
      </c>
      <c r="AF684" t="s">
        <v>126</v>
      </c>
      <c r="AG684">
        <v>0</v>
      </c>
      <c r="AH684">
        <v>0</v>
      </c>
      <c r="AI684">
        <v>2</v>
      </c>
      <c r="AJ684">
        <v>0</v>
      </c>
      <c r="AK684" t="s">
        <v>482</v>
      </c>
      <c r="AL684">
        <v>31.924081000000001</v>
      </c>
      <c r="AM684" t="s">
        <v>483</v>
      </c>
      <c r="AN684">
        <v>-101.041968</v>
      </c>
      <c r="AQ684" t="s">
        <v>129</v>
      </c>
      <c r="AR684">
        <v>89</v>
      </c>
      <c r="AS684">
        <v>-13</v>
      </c>
      <c r="AT684">
        <v>256</v>
      </c>
      <c r="BB684" t="str">
        <f t="shared" si="80"/>
        <v>1200</v>
      </c>
      <c r="BC684">
        <v>1</v>
      </c>
      <c r="BD684" t="str">
        <f t="shared" si="81"/>
        <v xml:space="preserve">N745MB  </v>
      </c>
      <c r="BE684">
        <v>1</v>
      </c>
      <c r="BG684">
        <v>0</v>
      </c>
      <c r="BH684">
        <v>0</v>
      </c>
      <c r="BI684">
        <v>0</v>
      </c>
      <c r="BL684" t="s">
        <v>130</v>
      </c>
      <c r="BM684">
        <v>1</v>
      </c>
      <c r="BN684">
        <v>0</v>
      </c>
      <c r="BO684">
        <v>0</v>
      </c>
      <c r="BP684">
        <v>0</v>
      </c>
      <c r="BT684">
        <v>0</v>
      </c>
      <c r="BU684">
        <v>0</v>
      </c>
      <c r="CE684" t="str">
        <f>"20:24:10.686"</f>
        <v>20:24:10.686</v>
      </c>
      <c r="CF684">
        <v>685541120</v>
      </c>
      <c r="CS684">
        <v>0</v>
      </c>
      <c r="CT684">
        <v>2</v>
      </c>
      <c r="CU684">
        <v>0</v>
      </c>
      <c r="CV684">
        <v>2</v>
      </c>
      <c r="CW684">
        <v>0</v>
      </c>
      <c r="CX684">
        <v>3</v>
      </c>
      <c r="CY684">
        <v>7</v>
      </c>
      <c r="CZ684" t="s">
        <v>131</v>
      </c>
      <c r="DA684">
        <v>116</v>
      </c>
      <c r="DB684">
        <v>3</v>
      </c>
      <c r="DC684" t="s">
        <v>132</v>
      </c>
      <c r="DD684" t="s">
        <v>133</v>
      </c>
      <c r="DG684">
        <v>8355053</v>
      </c>
      <c r="DI684">
        <v>0</v>
      </c>
      <c r="DJ684">
        <v>0</v>
      </c>
      <c r="DK684">
        <v>1</v>
      </c>
      <c r="DL684">
        <v>0</v>
      </c>
      <c r="DM684">
        <v>0</v>
      </c>
      <c r="DN684">
        <v>0</v>
      </c>
      <c r="DO684">
        <v>0</v>
      </c>
      <c r="DP684">
        <v>1</v>
      </c>
      <c r="DQ684">
        <v>0</v>
      </c>
      <c r="DR684">
        <v>0</v>
      </c>
      <c r="DS684">
        <v>0</v>
      </c>
    </row>
    <row r="685" spans="1:123" x14ac:dyDescent="0.25">
      <c r="A685" t="str">
        <f>"11/29/2023 20:24:12.633"</f>
        <v>11/29/2023 20:24:12.633</v>
      </c>
      <c r="C685" t="str">
        <f t="shared" si="82"/>
        <v>FFDF53C0</v>
      </c>
      <c r="D685" t="s">
        <v>135</v>
      </c>
      <c r="E685">
        <v>31</v>
      </c>
      <c r="H685">
        <v>285</v>
      </c>
      <c r="I685" t="s">
        <v>136</v>
      </c>
      <c r="J685" t="s">
        <v>137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"20:24:12.195"</f>
        <v>20:24:12.195</v>
      </c>
      <c r="T685" t="str">
        <f>"20:24:12.095"</f>
        <v>20:24:12.095</v>
      </c>
      <c r="U685" t="str">
        <f t="shared" si="79"/>
        <v>AA0632</v>
      </c>
      <c r="V685">
        <v>0</v>
      </c>
      <c r="W685">
        <v>0</v>
      </c>
      <c r="X685">
        <v>2</v>
      </c>
      <c r="Y685">
        <v>0</v>
      </c>
      <c r="AA685">
        <v>0</v>
      </c>
      <c r="AB685">
        <v>9</v>
      </c>
      <c r="AC685">
        <v>3</v>
      </c>
      <c r="AD685">
        <v>0</v>
      </c>
      <c r="AE685">
        <v>10</v>
      </c>
      <c r="AF685" t="s">
        <v>126</v>
      </c>
      <c r="AG685">
        <v>0</v>
      </c>
      <c r="AH685">
        <v>0</v>
      </c>
      <c r="AI685">
        <v>2</v>
      </c>
      <c r="AJ685">
        <v>0</v>
      </c>
      <c r="AK685" t="s">
        <v>484</v>
      </c>
      <c r="AL685">
        <v>31.924016000000002</v>
      </c>
      <c r="AM685" t="s">
        <v>485</v>
      </c>
      <c r="AN685">
        <v>-101.04125999999999</v>
      </c>
      <c r="AQ685" t="s">
        <v>129</v>
      </c>
      <c r="AR685">
        <v>89</v>
      </c>
      <c r="AS685">
        <v>-10</v>
      </c>
      <c r="AT685">
        <v>128</v>
      </c>
      <c r="BB685" t="str">
        <f t="shared" si="80"/>
        <v>1200</v>
      </c>
      <c r="BC685">
        <v>1</v>
      </c>
      <c r="BD685" t="str">
        <f t="shared" si="81"/>
        <v xml:space="preserve">N745MB  </v>
      </c>
      <c r="BE685">
        <v>1</v>
      </c>
      <c r="BG685">
        <v>0</v>
      </c>
      <c r="BH685">
        <v>0</v>
      </c>
      <c r="BI685">
        <v>0</v>
      </c>
      <c r="BL685" t="s">
        <v>130</v>
      </c>
      <c r="BM685">
        <v>1</v>
      </c>
      <c r="BN685">
        <v>0</v>
      </c>
      <c r="BO685">
        <v>0</v>
      </c>
      <c r="BP685">
        <v>0</v>
      </c>
      <c r="BT685">
        <v>0</v>
      </c>
      <c r="BU685">
        <v>0</v>
      </c>
      <c r="CE685" t="str">
        <f>"20:24:12.201"</f>
        <v>20:24:12.201</v>
      </c>
      <c r="CF685">
        <v>201438602</v>
      </c>
      <c r="CS685">
        <v>0</v>
      </c>
      <c r="CT685">
        <v>2</v>
      </c>
      <c r="CU685">
        <v>0</v>
      </c>
      <c r="CV685">
        <v>2</v>
      </c>
      <c r="CW685">
        <v>0</v>
      </c>
      <c r="CX685">
        <v>2</v>
      </c>
      <c r="CY685">
        <v>7</v>
      </c>
      <c r="CZ685" t="s">
        <v>131</v>
      </c>
      <c r="DA685">
        <v>116</v>
      </c>
      <c r="DB685">
        <v>0</v>
      </c>
      <c r="DC685" t="s">
        <v>132</v>
      </c>
      <c r="DD685" t="s">
        <v>133</v>
      </c>
      <c r="DG685">
        <v>14585769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1</v>
      </c>
      <c r="DQ685">
        <v>0</v>
      </c>
      <c r="DR685">
        <v>0</v>
      </c>
      <c r="DS685">
        <v>0</v>
      </c>
    </row>
    <row r="686" spans="1:123" x14ac:dyDescent="0.25">
      <c r="A686" t="str">
        <f>"11/29/2023 20:24:12.633"</f>
        <v>11/29/2023 20:24:12.633</v>
      </c>
      <c r="C686" t="str">
        <f t="shared" si="82"/>
        <v>FFDF53C0</v>
      </c>
      <c r="D686" t="s">
        <v>123</v>
      </c>
      <c r="E686">
        <v>14</v>
      </c>
      <c r="F686">
        <v>1014</v>
      </c>
      <c r="G686" t="s">
        <v>124</v>
      </c>
      <c r="J686" t="s">
        <v>125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"20:24:12.195"</f>
        <v>20:24:12.195</v>
      </c>
      <c r="T686" t="str">
        <f>"20:24:12.095"</f>
        <v>20:24:12.095</v>
      </c>
      <c r="U686" t="str">
        <f t="shared" si="79"/>
        <v>AA0632</v>
      </c>
      <c r="V686">
        <v>0</v>
      </c>
      <c r="W686">
        <v>0</v>
      </c>
      <c r="X686">
        <v>2</v>
      </c>
      <c r="Y686">
        <v>0</v>
      </c>
      <c r="AA686">
        <v>0</v>
      </c>
      <c r="AB686">
        <v>9</v>
      </c>
      <c r="AC686">
        <v>3</v>
      </c>
      <c r="AD686">
        <v>0</v>
      </c>
      <c r="AE686">
        <v>10</v>
      </c>
      <c r="AF686" t="s">
        <v>126</v>
      </c>
      <c r="AG686">
        <v>0</v>
      </c>
      <c r="AH686">
        <v>0</v>
      </c>
      <c r="AI686">
        <v>2</v>
      </c>
      <c r="AJ686">
        <v>0</v>
      </c>
      <c r="AK686" t="s">
        <v>484</v>
      </c>
      <c r="AL686">
        <v>31.924016000000002</v>
      </c>
      <c r="AM686" t="s">
        <v>485</v>
      </c>
      <c r="AN686">
        <v>-101.04125999999999</v>
      </c>
      <c r="AQ686" t="s">
        <v>129</v>
      </c>
      <c r="AR686">
        <v>89</v>
      </c>
      <c r="AS686">
        <v>-10</v>
      </c>
      <c r="AT686">
        <v>128</v>
      </c>
      <c r="BB686" t="str">
        <f t="shared" si="80"/>
        <v>1200</v>
      </c>
      <c r="BC686">
        <v>1</v>
      </c>
      <c r="BD686" t="str">
        <f t="shared" si="81"/>
        <v xml:space="preserve">N745MB  </v>
      </c>
      <c r="BE686">
        <v>1</v>
      </c>
      <c r="BG686">
        <v>0</v>
      </c>
      <c r="BH686">
        <v>0</v>
      </c>
      <c r="BI686">
        <v>0</v>
      </c>
      <c r="BL686" t="s">
        <v>130</v>
      </c>
      <c r="BM686">
        <v>1</v>
      </c>
      <c r="BN686">
        <v>0</v>
      </c>
      <c r="BO686">
        <v>0</v>
      </c>
      <c r="BP686">
        <v>0</v>
      </c>
      <c r="BT686">
        <v>0</v>
      </c>
      <c r="BU686">
        <v>0</v>
      </c>
      <c r="CE686" t="str">
        <f>"20:24:12.201"</f>
        <v>20:24:12.201</v>
      </c>
      <c r="CF686">
        <v>201438602</v>
      </c>
      <c r="CS686">
        <v>0</v>
      </c>
      <c r="CT686">
        <v>2</v>
      </c>
      <c r="CU686">
        <v>0</v>
      </c>
      <c r="CV686">
        <v>2</v>
      </c>
      <c r="CW686">
        <v>0</v>
      </c>
      <c r="CX686">
        <v>2</v>
      </c>
      <c r="CY686">
        <v>7</v>
      </c>
      <c r="CZ686" t="s">
        <v>131</v>
      </c>
      <c r="DA686">
        <v>116</v>
      </c>
      <c r="DB686">
        <v>0</v>
      </c>
      <c r="DC686" t="s">
        <v>132</v>
      </c>
      <c r="DD686" t="s">
        <v>133</v>
      </c>
      <c r="DG686">
        <v>14585769</v>
      </c>
      <c r="DI686">
        <v>0</v>
      </c>
      <c r="DJ686">
        <v>0</v>
      </c>
      <c r="DK686">
        <v>1</v>
      </c>
      <c r="DL686">
        <v>0</v>
      </c>
      <c r="DM686">
        <v>0</v>
      </c>
      <c r="DN686">
        <v>0</v>
      </c>
      <c r="DO686">
        <v>0</v>
      </c>
      <c r="DP686">
        <v>1</v>
      </c>
      <c r="DQ686">
        <v>0</v>
      </c>
      <c r="DR686">
        <v>0</v>
      </c>
      <c r="DS686">
        <v>0</v>
      </c>
    </row>
    <row r="687" spans="1:123" x14ac:dyDescent="0.25">
      <c r="A687" t="str">
        <f>"11/29/2023 20:24:12.633"</f>
        <v>11/29/2023 20:24:12.633</v>
      </c>
      <c r="C687" t="str">
        <f t="shared" si="82"/>
        <v>FFDF53C0</v>
      </c>
      <c r="D687" t="s">
        <v>123</v>
      </c>
      <c r="E687">
        <v>1</v>
      </c>
      <c r="F687">
        <v>1001</v>
      </c>
      <c r="G687" t="s">
        <v>134</v>
      </c>
      <c r="J687" t="s">
        <v>125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"20:24:12.195"</f>
        <v>20:24:12.195</v>
      </c>
      <c r="T687" t="str">
        <f>"20:24:12.095"</f>
        <v>20:24:12.095</v>
      </c>
      <c r="U687" t="str">
        <f t="shared" si="79"/>
        <v>AA0632</v>
      </c>
      <c r="V687">
        <v>0</v>
      </c>
      <c r="W687">
        <v>0</v>
      </c>
      <c r="X687">
        <v>2</v>
      </c>
      <c r="Y687">
        <v>0</v>
      </c>
      <c r="AA687">
        <v>0</v>
      </c>
      <c r="AB687">
        <v>9</v>
      </c>
      <c r="AC687">
        <v>3</v>
      </c>
      <c r="AD687">
        <v>0</v>
      </c>
      <c r="AE687">
        <v>10</v>
      </c>
      <c r="AF687" t="s">
        <v>126</v>
      </c>
      <c r="AG687">
        <v>0</v>
      </c>
      <c r="AH687">
        <v>0</v>
      </c>
      <c r="AI687">
        <v>2</v>
      </c>
      <c r="AJ687">
        <v>0</v>
      </c>
      <c r="AK687" t="s">
        <v>484</v>
      </c>
      <c r="AL687">
        <v>31.924016000000002</v>
      </c>
      <c r="AM687" t="s">
        <v>485</v>
      </c>
      <c r="AN687">
        <v>-101.04125999999999</v>
      </c>
      <c r="AQ687" t="s">
        <v>129</v>
      </c>
      <c r="AR687">
        <v>89</v>
      </c>
      <c r="AS687">
        <v>-10</v>
      </c>
      <c r="AT687">
        <v>128</v>
      </c>
      <c r="BB687" t="str">
        <f t="shared" si="80"/>
        <v>1200</v>
      </c>
      <c r="BC687">
        <v>1</v>
      </c>
      <c r="BD687" t="str">
        <f t="shared" si="81"/>
        <v xml:space="preserve">N745MB  </v>
      </c>
      <c r="BE687">
        <v>1</v>
      </c>
      <c r="BG687">
        <v>0</v>
      </c>
      <c r="BH687">
        <v>0</v>
      </c>
      <c r="BI687">
        <v>0</v>
      </c>
      <c r="BL687" t="s">
        <v>130</v>
      </c>
      <c r="BM687">
        <v>1</v>
      </c>
      <c r="BN687">
        <v>0</v>
      </c>
      <c r="BO687">
        <v>0</v>
      </c>
      <c r="BP687">
        <v>0</v>
      </c>
      <c r="BT687">
        <v>0</v>
      </c>
      <c r="BU687">
        <v>0</v>
      </c>
      <c r="CE687" t="str">
        <f>"20:24:12.201"</f>
        <v>20:24:12.201</v>
      </c>
      <c r="CF687">
        <v>201438602</v>
      </c>
      <c r="CS687">
        <v>0</v>
      </c>
      <c r="CT687">
        <v>2</v>
      </c>
      <c r="CU687">
        <v>0</v>
      </c>
      <c r="CV687">
        <v>2</v>
      </c>
      <c r="CW687">
        <v>0</v>
      </c>
      <c r="CX687">
        <v>2</v>
      </c>
      <c r="CY687">
        <v>7</v>
      </c>
      <c r="CZ687" t="s">
        <v>131</v>
      </c>
      <c r="DA687">
        <v>116</v>
      </c>
      <c r="DB687">
        <v>0</v>
      </c>
      <c r="DC687" t="s">
        <v>132</v>
      </c>
      <c r="DD687" t="s">
        <v>133</v>
      </c>
      <c r="DG687">
        <v>14585769</v>
      </c>
      <c r="DI687">
        <v>0</v>
      </c>
      <c r="DJ687">
        <v>0</v>
      </c>
      <c r="DK687">
        <v>1</v>
      </c>
      <c r="DL687">
        <v>0</v>
      </c>
      <c r="DM687">
        <v>0</v>
      </c>
      <c r="DN687">
        <v>0</v>
      </c>
      <c r="DO687">
        <v>0</v>
      </c>
      <c r="DP687">
        <v>1</v>
      </c>
      <c r="DQ687">
        <v>0</v>
      </c>
      <c r="DR687">
        <v>0</v>
      </c>
      <c r="DS687">
        <v>0</v>
      </c>
    </row>
    <row r="688" spans="1:123" x14ac:dyDescent="0.25">
      <c r="A688" t="str">
        <f>"11/29/2023 20:24:12.633"</f>
        <v>11/29/2023 20:24:12.633</v>
      </c>
      <c r="C688" t="str">
        <f t="shared" si="82"/>
        <v>FFDF53C0</v>
      </c>
      <c r="D688" t="s">
        <v>138</v>
      </c>
      <c r="E688">
        <v>3</v>
      </c>
      <c r="H688">
        <v>160</v>
      </c>
      <c r="I688" t="s">
        <v>124</v>
      </c>
      <c r="J688" t="s">
        <v>139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"20:24:12.195"</f>
        <v>20:24:12.195</v>
      </c>
      <c r="T688" t="str">
        <f>"20:24:12.095"</f>
        <v>20:24:12.095</v>
      </c>
      <c r="U688" t="str">
        <f t="shared" si="79"/>
        <v>AA0632</v>
      </c>
      <c r="V688">
        <v>0</v>
      </c>
      <c r="W688">
        <v>0</v>
      </c>
      <c r="X688">
        <v>2</v>
      </c>
      <c r="Y688">
        <v>0</v>
      </c>
      <c r="AA688">
        <v>0</v>
      </c>
      <c r="AB688">
        <v>9</v>
      </c>
      <c r="AC688">
        <v>3</v>
      </c>
      <c r="AD688">
        <v>0</v>
      </c>
      <c r="AE688">
        <v>10</v>
      </c>
      <c r="AF688" t="s">
        <v>126</v>
      </c>
      <c r="AG688">
        <v>0</v>
      </c>
      <c r="AH688">
        <v>0</v>
      </c>
      <c r="AI688">
        <v>2</v>
      </c>
      <c r="AJ688">
        <v>0</v>
      </c>
      <c r="AK688" t="s">
        <v>484</v>
      </c>
      <c r="AL688">
        <v>31.924016000000002</v>
      </c>
      <c r="AM688" t="s">
        <v>485</v>
      </c>
      <c r="AN688">
        <v>-101.04125999999999</v>
      </c>
      <c r="AQ688" t="s">
        <v>129</v>
      </c>
      <c r="AR688">
        <v>89</v>
      </c>
      <c r="AS688">
        <v>-10</v>
      </c>
      <c r="AT688">
        <v>128</v>
      </c>
      <c r="BB688" t="str">
        <f t="shared" si="80"/>
        <v>1200</v>
      </c>
      <c r="BC688">
        <v>1</v>
      </c>
      <c r="BD688" t="str">
        <f t="shared" si="81"/>
        <v xml:space="preserve">N745MB  </v>
      </c>
      <c r="BE688">
        <v>1</v>
      </c>
      <c r="BG688">
        <v>0</v>
      </c>
      <c r="BH688">
        <v>0</v>
      </c>
      <c r="BI688">
        <v>0</v>
      </c>
      <c r="BL688" t="s">
        <v>130</v>
      </c>
      <c r="BM688">
        <v>1</v>
      </c>
      <c r="BN688">
        <v>0</v>
      </c>
      <c r="BO688">
        <v>0</v>
      </c>
      <c r="BP688">
        <v>0</v>
      </c>
      <c r="BT688">
        <v>0</v>
      </c>
      <c r="BU688">
        <v>0</v>
      </c>
      <c r="CE688" t="str">
        <f>"20:24:12.201"</f>
        <v>20:24:12.201</v>
      </c>
      <c r="CF688">
        <v>201438602</v>
      </c>
      <c r="CS688">
        <v>0</v>
      </c>
      <c r="CT688">
        <v>2</v>
      </c>
      <c r="CU688">
        <v>0</v>
      </c>
      <c r="CV688">
        <v>2</v>
      </c>
      <c r="CW688">
        <v>0</v>
      </c>
      <c r="CX688">
        <v>2</v>
      </c>
      <c r="CY688">
        <v>7</v>
      </c>
      <c r="CZ688" t="s">
        <v>131</v>
      </c>
      <c r="DA688">
        <v>116</v>
      </c>
      <c r="DB688">
        <v>0</v>
      </c>
      <c r="DC688" t="s">
        <v>132</v>
      </c>
      <c r="DD688" t="s">
        <v>133</v>
      </c>
      <c r="DG688">
        <v>14585769</v>
      </c>
      <c r="DI688">
        <v>0</v>
      </c>
      <c r="DJ688">
        <v>0</v>
      </c>
      <c r="DK688">
        <v>1</v>
      </c>
      <c r="DL688">
        <v>0</v>
      </c>
      <c r="DM688">
        <v>0</v>
      </c>
      <c r="DN688">
        <v>0</v>
      </c>
      <c r="DO688">
        <v>0</v>
      </c>
      <c r="DP688">
        <v>1</v>
      </c>
      <c r="DQ688">
        <v>0</v>
      </c>
      <c r="DR688">
        <v>0</v>
      </c>
      <c r="DS688">
        <v>0</v>
      </c>
    </row>
    <row r="689" spans="1:123" x14ac:dyDescent="0.25">
      <c r="A689" t="str">
        <f>"11/29/2023 20:24:13.836"</f>
        <v>11/29/2023 20:24:13.836</v>
      </c>
      <c r="C689" t="str">
        <f t="shared" si="82"/>
        <v>FFDF53C0</v>
      </c>
      <c r="D689" t="s">
        <v>138</v>
      </c>
      <c r="E689">
        <v>3</v>
      </c>
      <c r="H689">
        <v>160</v>
      </c>
      <c r="I689" t="s">
        <v>124</v>
      </c>
      <c r="J689" t="s">
        <v>139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"20:24:13.500"</f>
        <v>20:24:13.500</v>
      </c>
      <c r="T689" t="str">
        <f>"20:24:13.400"</f>
        <v>20:24:13.400</v>
      </c>
      <c r="U689" t="str">
        <f t="shared" si="79"/>
        <v>AA0632</v>
      </c>
      <c r="V689">
        <v>0</v>
      </c>
      <c r="W689">
        <v>0</v>
      </c>
      <c r="X689">
        <v>2</v>
      </c>
      <c r="Y689">
        <v>0</v>
      </c>
      <c r="AA689">
        <v>0</v>
      </c>
      <c r="AB689">
        <v>9</v>
      </c>
      <c r="AC689">
        <v>3</v>
      </c>
      <c r="AD689">
        <v>0</v>
      </c>
      <c r="AE689">
        <v>10</v>
      </c>
      <c r="AF689" t="s">
        <v>126</v>
      </c>
      <c r="AG689">
        <v>0</v>
      </c>
      <c r="AH689">
        <v>0</v>
      </c>
      <c r="AI689">
        <v>2</v>
      </c>
      <c r="AJ689">
        <v>0</v>
      </c>
      <c r="AK689" t="s">
        <v>486</v>
      </c>
      <c r="AL689">
        <v>31.923952</v>
      </c>
      <c r="AM689" t="s">
        <v>487</v>
      </c>
      <c r="AN689">
        <v>-101.040637</v>
      </c>
      <c r="AQ689" t="s">
        <v>129</v>
      </c>
      <c r="AR689">
        <v>89</v>
      </c>
      <c r="AS689">
        <v>-10</v>
      </c>
      <c r="AT689">
        <v>192</v>
      </c>
      <c r="BB689" t="str">
        <f t="shared" si="80"/>
        <v>1200</v>
      </c>
      <c r="BC689">
        <v>1</v>
      </c>
      <c r="BD689" t="str">
        <f t="shared" si="81"/>
        <v xml:space="preserve">N745MB  </v>
      </c>
      <c r="BE689">
        <v>1</v>
      </c>
      <c r="BG689">
        <v>0</v>
      </c>
      <c r="BH689">
        <v>0</v>
      </c>
      <c r="BI689">
        <v>0</v>
      </c>
      <c r="BL689" t="s">
        <v>130</v>
      </c>
      <c r="BM689">
        <v>1</v>
      </c>
      <c r="BN689">
        <v>0</v>
      </c>
      <c r="BO689">
        <v>0</v>
      </c>
      <c r="BP689">
        <v>0</v>
      </c>
      <c r="BT689">
        <v>0</v>
      </c>
      <c r="BU689">
        <v>0</v>
      </c>
      <c r="CE689" t="str">
        <f>"20:24:13.507"</f>
        <v>20:24:13.507</v>
      </c>
      <c r="CF689">
        <v>507353211</v>
      </c>
      <c r="CS689">
        <v>0</v>
      </c>
      <c r="CT689">
        <v>2</v>
      </c>
      <c r="CU689">
        <v>0</v>
      </c>
      <c r="CV689">
        <v>2</v>
      </c>
      <c r="CW689">
        <v>0</v>
      </c>
      <c r="CX689">
        <v>3</v>
      </c>
      <c r="CY689">
        <v>7</v>
      </c>
      <c r="CZ689" t="s">
        <v>131</v>
      </c>
      <c r="DA689">
        <v>116</v>
      </c>
      <c r="DB689">
        <v>0</v>
      </c>
      <c r="DC689" t="s">
        <v>132</v>
      </c>
      <c r="DD689" t="s">
        <v>133</v>
      </c>
      <c r="DG689">
        <v>14586829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1</v>
      </c>
      <c r="DQ689">
        <v>0</v>
      </c>
      <c r="DR689">
        <v>0</v>
      </c>
      <c r="DS689">
        <v>0</v>
      </c>
    </row>
    <row r="690" spans="1:123" x14ac:dyDescent="0.25">
      <c r="A690" t="str">
        <f>"11/29/2023 20:24:13.836"</f>
        <v>11/29/2023 20:24:13.836</v>
      </c>
      <c r="C690" t="str">
        <f t="shared" si="82"/>
        <v>FFDF53C0</v>
      </c>
      <c r="D690" t="s">
        <v>135</v>
      </c>
      <c r="E690">
        <v>31</v>
      </c>
      <c r="H690">
        <v>285</v>
      </c>
      <c r="I690" t="s">
        <v>136</v>
      </c>
      <c r="J690" t="s">
        <v>137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"20:24:13.500"</f>
        <v>20:24:13.500</v>
      </c>
      <c r="T690" t="str">
        <f>"20:24:13.400"</f>
        <v>20:24:13.400</v>
      </c>
      <c r="U690" t="str">
        <f t="shared" si="79"/>
        <v>AA0632</v>
      </c>
      <c r="V690">
        <v>0</v>
      </c>
      <c r="W690">
        <v>0</v>
      </c>
      <c r="X690">
        <v>2</v>
      </c>
      <c r="Y690">
        <v>0</v>
      </c>
      <c r="AA690">
        <v>0</v>
      </c>
      <c r="AB690">
        <v>9</v>
      </c>
      <c r="AC690">
        <v>3</v>
      </c>
      <c r="AD690">
        <v>0</v>
      </c>
      <c r="AE690">
        <v>10</v>
      </c>
      <c r="AF690" t="s">
        <v>126</v>
      </c>
      <c r="AG690">
        <v>0</v>
      </c>
      <c r="AH690">
        <v>0</v>
      </c>
      <c r="AI690">
        <v>2</v>
      </c>
      <c r="AJ690">
        <v>0</v>
      </c>
      <c r="AK690" t="s">
        <v>486</v>
      </c>
      <c r="AL690">
        <v>31.923952</v>
      </c>
      <c r="AM690" t="s">
        <v>487</v>
      </c>
      <c r="AN690">
        <v>-101.040637</v>
      </c>
      <c r="AQ690" t="s">
        <v>129</v>
      </c>
      <c r="AR690">
        <v>89</v>
      </c>
      <c r="AS690">
        <v>-10</v>
      </c>
      <c r="AT690">
        <v>192</v>
      </c>
      <c r="BB690" t="str">
        <f t="shared" si="80"/>
        <v>1200</v>
      </c>
      <c r="BC690">
        <v>1</v>
      </c>
      <c r="BD690" t="str">
        <f t="shared" si="81"/>
        <v xml:space="preserve">N745MB  </v>
      </c>
      <c r="BE690">
        <v>1</v>
      </c>
      <c r="BG690">
        <v>0</v>
      </c>
      <c r="BH690">
        <v>0</v>
      </c>
      <c r="BI690">
        <v>0</v>
      </c>
      <c r="BL690" t="s">
        <v>130</v>
      </c>
      <c r="BM690">
        <v>1</v>
      </c>
      <c r="BN690">
        <v>0</v>
      </c>
      <c r="BO690">
        <v>0</v>
      </c>
      <c r="BP690">
        <v>0</v>
      </c>
      <c r="BT690">
        <v>0</v>
      </c>
      <c r="BU690">
        <v>0</v>
      </c>
      <c r="CE690" t="str">
        <f>"20:24:13.507"</f>
        <v>20:24:13.507</v>
      </c>
      <c r="CF690">
        <v>507353211</v>
      </c>
      <c r="CS690">
        <v>0</v>
      </c>
      <c r="CT690">
        <v>2</v>
      </c>
      <c r="CU690">
        <v>0</v>
      </c>
      <c r="CV690">
        <v>2</v>
      </c>
      <c r="CW690">
        <v>0</v>
      </c>
      <c r="CX690">
        <v>3</v>
      </c>
      <c r="CY690">
        <v>7</v>
      </c>
      <c r="CZ690" t="s">
        <v>131</v>
      </c>
      <c r="DA690">
        <v>116</v>
      </c>
      <c r="DB690">
        <v>0</v>
      </c>
      <c r="DC690" t="s">
        <v>132</v>
      </c>
      <c r="DD690" t="s">
        <v>133</v>
      </c>
      <c r="DG690">
        <v>14586829</v>
      </c>
      <c r="DI690">
        <v>0</v>
      </c>
      <c r="DJ690">
        <v>0</v>
      </c>
      <c r="DK690">
        <v>1</v>
      </c>
      <c r="DL690">
        <v>0</v>
      </c>
      <c r="DM690">
        <v>0</v>
      </c>
      <c r="DN690">
        <v>0</v>
      </c>
      <c r="DO690">
        <v>0</v>
      </c>
      <c r="DP690">
        <v>1</v>
      </c>
      <c r="DQ690">
        <v>0</v>
      </c>
      <c r="DR690">
        <v>0</v>
      </c>
      <c r="DS690">
        <v>0</v>
      </c>
    </row>
    <row r="691" spans="1:123" x14ac:dyDescent="0.25">
      <c r="A691" t="str">
        <f>"11/29/2023 20:24:13.836"</f>
        <v>11/29/2023 20:24:13.836</v>
      </c>
      <c r="C691" t="str">
        <f t="shared" si="82"/>
        <v>FFDF53C0</v>
      </c>
      <c r="D691" t="s">
        <v>123</v>
      </c>
      <c r="E691">
        <v>14</v>
      </c>
      <c r="F691">
        <v>1014</v>
      </c>
      <c r="G691" t="s">
        <v>124</v>
      </c>
      <c r="J691" t="s">
        <v>125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"20:24:13.500"</f>
        <v>20:24:13.500</v>
      </c>
      <c r="T691" t="str">
        <f>"20:24:13.400"</f>
        <v>20:24:13.400</v>
      </c>
      <c r="U691" t="str">
        <f t="shared" si="79"/>
        <v>AA0632</v>
      </c>
      <c r="V691">
        <v>0</v>
      </c>
      <c r="W691">
        <v>0</v>
      </c>
      <c r="X691">
        <v>2</v>
      </c>
      <c r="Y691">
        <v>0</v>
      </c>
      <c r="AA691">
        <v>0</v>
      </c>
      <c r="AB691">
        <v>9</v>
      </c>
      <c r="AC691">
        <v>3</v>
      </c>
      <c r="AD691">
        <v>0</v>
      </c>
      <c r="AE691">
        <v>10</v>
      </c>
      <c r="AF691" t="s">
        <v>126</v>
      </c>
      <c r="AG691">
        <v>0</v>
      </c>
      <c r="AH691">
        <v>0</v>
      </c>
      <c r="AI691">
        <v>2</v>
      </c>
      <c r="AJ691">
        <v>0</v>
      </c>
      <c r="AK691" t="s">
        <v>486</v>
      </c>
      <c r="AL691">
        <v>31.923952</v>
      </c>
      <c r="AM691" t="s">
        <v>487</v>
      </c>
      <c r="AN691">
        <v>-101.040637</v>
      </c>
      <c r="AQ691" t="s">
        <v>129</v>
      </c>
      <c r="AR691">
        <v>89</v>
      </c>
      <c r="AS691">
        <v>-10</v>
      </c>
      <c r="AT691">
        <v>192</v>
      </c>
      <c r="BB691" t="str">
        <f t="shared" si="80"/>
        <v>1200</v>
      </c>
      <c r="BC691">
        <v>1</v>
      </c>
      <c r="BD691" t="str">
        <f t="shared" si="81"/>
        <v xml:space="preserve">N745MB  </v>
      </c>
      <c r="BE691">
        <v>1</v>
      </c>
      <c r="BG691">
        <v>0</v>
      </c>
      <c r="BH691">
        <v>0</v>
      </c>
      <c r="BI691">
        <v>0</v>
      </c>
      <c r="BL691" t="s">
        <v>130</v>
      </c>
      <c r="BM691">
        <v>1</v>
      </c>
      <c r="BN691">
        <v>0</v>
      </c>
      <c r="BO691">
        <v>0</v>
      </c>
      <c r="BP691">
        <v>0</v>
      </c>
      <c r="BT691">
        <v>0</v>
      </c>
      <c r="BU691">
        <v>0</v>
      </c>
      <c r="CE691" t="str">
        <f>"20:24:13.507"</f>
        <v>20:24:13.507</v>
      </c>
      <c r="CF691">
        <v>507353211</v>
      </c>
      <c r="CS691">
        <v>0</v>
      </c>
      <c r="CT691">
        <v>2</v>
      </c>
      <c r="CU691">
        <v>0</v>
      </c>
      <c r="CV691">
        <v>2</v>
      </c>
      <c r="CW691">
        <v>0</v>
      </c>
      <c r="CX691">
        <v>3</v>
      </c>
      <c r="CY691">
        <v>7</v>
      </c>
      <c r="CZ691" t="s">
        <v>131</v>
      </c>
      <c r="DA691">
        <v>116</v>
      </c>
      <c r="DB691">
        <v>0</v>
      </c>
      <c r="DC691" t="s">
        <v>132</v>
      </c>
      <c r="DD691" t="s">
        <v>133</v>
      </c>
      <c r="DG691">
        <v>14586829</v>
      </c>
      <c r="DI691">
        <v>0</v>
      </c>
      <c r="DJ691">
        <v>0</v>
      </c>
      <c r="DK691">
        <v>1</v>
      </c>
      <c r="DL691">
        <v>0</v>
      </c>
      <c r="DM691">
        <v>0</v>
      </c>
      <c r="DN691">
        <v>0</v>
      </c>
      <c r="DO691">
        <v>0</v>
      </c>
      <c r="DP691">
        <v>1</v>
      </c>
      <c r="DQ691">
        <v>0</v>
      </c>
      <c r="DR691">
        <v>0</v>
      </c>
      <c r="DS691">
        <v>0</v>
      </c>
    </row>
    <row r="692" spans="1:123" x14ac:dyDescent="0.25">
      <c r="A692" t="str">
        <f>"11/29/2023 20:24:13.836"</f>
        <v>11/29/2023 20:24:13.836</v>
      </c>
      <c r="C692" t="str">
        <f t="shared" si="82"/>
        <v>FFDF53C0</v>
      </c>
      <c r="D692" t="s">
        <v>123</v>
      </c>
      <c r="E692">
        <v>1</v>
      </c>
      <c r="F692">
        <v>1001</v>
      </c>
      <c r="G692" t="s">
        <v>134</v>
      </c>
      <c r="J692" t="s">
        <v>125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"20:24:13.500"</f>
        <v>20:24:13.500</v>
      </c>
      <c r="T692" t="str">
        <f>"20:24:13.400"</f>
        <v>20:24:13.400</v>
      </c>
      <c r="U692" t="str">
        <f t="shared" si="79"/>
        <v>AA0632</v>
      </c>
      <c r="V692">
        <v>0</v>
      </c>
      <c r="W692">
        <v>0</v>
      </c>
      <c r="X692">
        <v>2</v>
      </c>
      <c r="Y692">
        <v>0</v>
      </c>
      <c r="AA692">
        <v>0</v>
      </c>
      <c r="AB692">
        <v>9</v>
      </c>
      <c r="AC692">
        <v>3</v>
      </c>
      <c r="AD692">
        <v>0</v>
      </c>
      <c r="AE692">
        <v>10</v>
      </c>
      <c r="AF692" t="s">
        <v>126</v>
      </c>
      <c r="AG692">
        <v>0</v>
      </c>
      <c r="AH692">
        <v>0</v>
      </c>
      <c r="AI692">
        <v>2</v>
      </c>
      <c r="AJ692">
        <v>0</v>
      </c>
      <c r="AK692" t="s">
        <v>486</v>
      </c>
      <c r="AL692">
        <v>31.923952</v>
      </c>
      <c r="AM692" t="s">
        <v>487</v>
      </c>
      <c r="AN692">
        <v>-101.040637</v>
      </c>
      <c r="AQ692" t="s">
        <v>129</v>
      </c>
      <c r="AR692">
        <v>89</v>
      </c>
      <c r="AS692">
        <v>-10</v>
      </c>
      <c r="AT692">
        <v>192</v>
      </c>
      <c r="BB692" t="str">
        <f t="shared" si="80"/>
        <v>1200</v>
      </c>
      <c r="BC692">
        <v>1</v>
      </c>
      <c r="BD692" t="str">
        <f t="shared" si="81"/>
        <v xml:space="preserve">N745MB  </v>
      </c>
      <c r="BE692">
        <v>1</v>
      </c>
      <c r="BG692">
        <v>0</v>
      </c>
      <c r="BH692">
        <v>0</v>
      </c>
      <c r="BI692">
        <v>0</v>
      </c>
      <c r="BL692" t="s">
        <v>130</v>
      </c>
      <c r="BM692">
        <v>1</v>
      </c>
      <c r="BN692">
        <v>0</v>
      </c>
      <c r="BO692">
        <v>0</v>
      </c>
      <c r="BP692">
        <v>0</v>
      </c>
      <c r="BT692">
        <v>0</v>
      </c>
      <c r="BU692">
        <v>0</v>
      </c>
      <c r="CE692" t="str">
        <f>"20:24:13.507"</f>
        <v>20:24:13.507</v>
      </c>
      <c r="CF692">
        <v>507353211</v>
      </c>
      <c r="CS692">
        <v>0</v>
      </c>
      <c r="CT692">
        <v>2</v>
      </c>
      <c r="CU692">
        <v>0</v>
      </c>
      <c r="CV692">
        <v>2</v>
      </c>
      <c r="CW692">
        <v>0</v>
      </c>
      <c r="CX692">
        <v>3</v>
      </c>
      <c r="CY692">
        <v>7</v>
      </c>
      <c r="CZ692" t="s">
        <v>131</v>
      </c>
      <c r="DA692">
        <v>116</v>
      </c>
      <c r="DB692">
        <v>0</v>
      </c>
      <c r="DC692" t="s">
        <v>132</v>
      </c>
      <c r="DD692" t="s">
        <v>133</v>
      </c>
      <c r="DG692">
        <v>14586829</v>
      </c>
      <c r="DI692">
        <v>0</v>
      </c>
      <c r="DJ692">
        <v>0</v>
      </c>
      <c r="DK692">
        <v>1</v>
      </c>
      <c r="DL692">
        <v>0</v>
      </c>
      <c r="DM692">
        <v>0</v>
      </c>
      <c r="DN692">
        <v>0</v>
      </c>
      <c r="DO692">
        <v>0</v>
      </c>
      <c r="DP692">
        <v>1</v>
      </c>
      <c r="DQ692">
        <v>0</v>
      </c>
      <c r="DR692">
        <v>0</v>
      </c>
      <c r="DS692">
        <v>0</v>
      </c>
    </row>
    <row r="693" spans="1:123" x14ac:dyDescent="0.25">
      <c r="A693" t="str">
        <f>"11/29/2023 20:24:15.399"</f>
        <v>11/29/2023 20:24:15.399</v>
      </c>
      <c r="C693" t="str">
        <f t="shared" ref="C693:C724" si="83">"FFDF53C0"</f>
        <v>FFDF53C0</v>
      </c>
      <c r="D693" t="s">
        <v>138</v>
      </c>
      <c r="E693">
        <v>3</v>
      </c>
      <c r="H693">
        <v>160</v>
      </c>
      <c r="I693" t="s">
        <v>124</v>
      </c>
      <c r="J693" t="s">
        <v>139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"20:24:14.969"</f>
        <v>20:24:14.969</v>
      </c>
      <c r="T693" t="str">
        <f>"20:24:14.569"</f>
        <v>20:24:14.569</v>
      </c>
      <c r="U693" t="str">
        <f t="shared" si="79"/>
        <v>AA0632</v>
      </c>
      <c r="V693">
        <v>0</v>
      </c>
      <c r="W693">
        <v>0</v>
      </c>
      <c r="X693">
        <v>2</v>
      </c>
      <c r="Y693">
        <v>0</v>
      </c>
      <c r="AA693">
        <v>0</v>
      </c>
      <c r="AB693">
        <v>9</v>
      </c>
      <c r="AC693">
        <v>3</v>
      </c>
      <c r="AD693">
        <v>0</v>
      </c>
      <c r="AE693">
        <v>10</v>
      </c>
      <c r="AF693" t="s">
        <v>126</v>
      </c>
      <c r="AG693">
        <v>0</v>
      </c>
      <c r="AH693">
        <v>0</v>
      </c>
      <c r="AI693">
        <v>2</v>
      </c>
      <c r="AJ693">
        <v>0</v>
      </c>
      <c r="AK693" t="s">
        <v>488</v>
      </c>
      <c r="AL693">
        <v>31.923888000000002</v>
      </c>
      <c r="AM693" t="s">
        <v>489</v>
      </c>
      <c r="AN693">
        <v>-101.03997200000001</v>
      </c>
      <c r="AQ693" t="s">
        <v>129</v>
      </c>
      <c r="AR693">
        <v>88</v>
      </c>
      <c r="AS693">
        <v>-9</v>
      </c>
      <c r="AT693">
        <v>192</v>
      </c>
      <c r="BB693" t="str">
        <f t="shared" si="80"/>
        <v>1200</v>
      </c>
      <c r="BC693">
        <v>1</v>
      </c>
      <c r="BD693" t="str">
        <f t="shared" si="81"/>
        <v xml:space="preserve">N745MB  </v>
      </c>
      <c r="BE693">
        <v>1</v>
      </c>
      <c r="BG693">
        <v>0</v>
      </c>
      <c r="BH693">
        <v>0</v>
      </c>
      <c r="BI693">
        <v>0</v>
      </c>
      <c r="BL693" t="s">
        <v>130</v>
      </c>
      <c r="BM693">
        <v>1</v>
      </c>
      <c r="BN693">
        <v>0</v>
      </c>
      <c r="BO693">
        <v>0</v>
      </c>
      <c r="BP693">
        <v>0</v>
      </c>
      <c r="BT693">
        <v>0</v>
      </c>
      <c r="BU693">
        <v>0</v>
      </c>
      <c r="CE693" t="str">
        <f>"20:24:14.971"</f>
        <v>20:24:14.971</v>
      </c>
      <c r="CF693">
        <v>971254177</v>
      </c>
      <c r="CS693">
        <v>0</v>
      </c>
      <c r="CT693">
        <v>2</v>
      </c>
      <c r="CU693">
        <v>0</v>
      </c>
      <c r="CV693">
        <v>2</v>
      </c>
      <c r="CW693">
        <v>0</v>
      </c>
      <c r="CX693">
        <v>3</v>
      </c>
      <c r="CY693">
        <v>7</v>
      </c>
      <c r="CZ693" t="s">
        <v>131</v>
      </c>
      <c r="DA693">
        <v>116</v>
      </c>
      <c r="DB693">
        <v>0</v>
      </c>
      <c r="DC693" t="s">
        <v>132</v>
      </c>
      <c r="DD693" t="s">
        <v>133</v>
      </c>
      <c r="DG693">
        <v>14588098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1</v>
      </c>
      <c r="DQ693">
        <v>0</v>
      </c>
      <c r="DR693">
        <v>0</v>
      </c>
      <c r="DS693">
        <v>0</v>
      </c>
    </row>
    <row r="694" spans="1:123" x14ac:dyDescent="0.25">
      <c r="A694" t="str">
        <f>"11/29/2023 20:24:17.133"</f>
        <v>11/29/2023 20:24:17.133</v>
      </c>
      <c r="C694" t="str">
        <f t="shared" si="83"/>
        <v>FFDF53C0</v>
      </c>
      <c r="D694" t="s">
        <v>138</v>
      </c>
      <c r="E694">
        <v>3</v>
      </c>
      <c r="H694">
        <v>160</v>
      </c>
      <c r="I694" t="s">
        <v>124</v>
      </c>
      <c r="J694" t="s">
        <v>139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"20:24:16.719"</f>
        <v>20:24:16.719</v>
      </c>
      <c r="T694" t="str">
        <f>"20:24:16.419"</f>
        <v>20:24:16.419</v>
      </c>
      <c r="U694" t="str">
        <f t="shared" si="79"/>
        <v>AA0632</v>
      </c>
      <c r="V694">
        <v>0</v>
      </c>
      <c r="W694">
        <v>0</v>
      </c>
      <c r="X694">
        <v>2</v>
      </c>
      <c r="Y694">
        <v>0</v>
      </c>
      <c r="AA694">
        <v>0</v>
      </c>
      <c r="AB694">
        <v>9</v>
      </c>
      <c r="AC694">
        <v>3</v>
      </c>
      <c r="AD694">
        <v>0</v>
      </c>
      <c r="AE694">
        <v>10</v>
      </c>
      <c r="AF694" t="s">
        <v>126</v>
      </c>
      <c r="AG694">
        <v>0</v>
      </c>
      <c r="AH694">
        <v>0</v>
      </c>
      <c r="AI694">
        <v>2</v>
      </c>
      <c r="AJ694">
        <v>0</v>
      </c>
      <c r="AK694" t="s">
        <v>490</v>
      </c>
      <c r="AL694">
        <v>31.923801999999998</v>
      </c>
      <c r="AM694" t="s">
        <v>491</v>
      </c>
      <c r="AN694">
        <v>-101.03907100000001</v>
      </c>
      <c r="AQ694" t="s">
        <v>129</v>
      </c>
      <c r="AR694">
        <v>88</v>
      </c>
      <c r="AS694">
        <v>-8</v>
      </c>
      <c r="AT694">
        <v>256</v>
      </c>
      <c r="BB694" t="str">
        <f t="shared" si="80"/>
        <v>1200</v>
      </c>
      <c r="BC694">
        <v>1</v>
      </c>
      <c r="BD694" t="str">
        <f t="shared" si="81"/>
        <v xml:space="preserve">N745MB  </v>
      </c>
      <c r="BE694">
        <v>1</v>
      </c>
      <c r="BG694">
        <v>0</v>
      </c>
      <c r="BH694">
        <v>0</v>
      </c>
      <c r="BI694">
        <v>0</v>
      </c>
      <c r="BL694" t="s">
        <v>130</v>
      </c>
      <c r="BM694">
        <v>1</v>
      </c>
      <c r="BN694">
        <v>0</v>
      </c>
      <c r="BO694">
        <v>0</v>
      </c>
      <c r="BP694">
        <v>0</v>
      </c>
      <c r="BT694">
        <v>0</v>
      </c>
      <c r="BU694">
        <v>0</v>
      </c>
      <c r="CE694" t="str">
        <f>"20:24:16.723"</f>
        <v>20:24:16.723</v>
      </c>
      <c r="CF694">
        <v>723136537</v>
      </c>
      <c r="CS694">
        <v>0</v>
      </c>
      <c r="CT694">
        <v>2</v>
      </c>
      <c r="CU694">
        <v>0</v>
      </c>
      <c r="CV694">
        <v>2</v>
      </c>
      <c r="CW694">
        <v>0</v>
      </c>
      <c r="CX694">
        <v>2</v>
      </c>
      <c r="CY694">
        <v>7</v>
      </c>
      <c r="CZ694" t="s">
        <v>131</v>
      </c>
      <c r="DA694">
        <v>116</v>
      </c>
      <c r="DB694">
        <v>3</v>
      </c>
      <c r="DC694" t="s">
        <v>132</v>
      </c>
      <c r="DD694" t="s">
        <v>133</v>
      </c>
      <c r="DG694">
        <v>8358463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1</v>
      </c>
      <c r="DQ694">
        <v>0</v>
      </c>
      <c r="DR694">
        <v>0</v>
      </c>
      <c r="DS694">
        <v>0</v>
      </c>
    </row>
    <row r="695" spans="1:123" x14ac:dyDescent="0.25">
      <c r="A695" t="str">
        <f>"11/29/2023 20:24:17.133"</f>
        <v>11/29/2023 20:24:17.133</v>
      </c>
      <c r="C695" t="str">
        <f t="shared" si="83"/>
        <v>FFDF53C0</v>
      </c>
      <c r="D695" t="s">
        <v>135</v>
      </c>
      <c r="E695">
        <v>31</v>
      </c>
      <c r="H695">
        <v>285</v>
      </c>
      <c r="I695" t="s">
        <v>136</v>
      </c>
      <c r="J695" t="s">
        <v>137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"20:24:16.719"</f>
        <v>20:24:16.719</v>
      </c>
      <c r="T695" t="str">
        <f>"20:24:16.419"</f>
        <v>20:24:16.419</v>
      </c>
      <c r="U695" t="str">
        <f t="shared" si="79"/>
        <v>AA0632</v>
      </c>
      <c r="V695">
        <v>0</v>
      </c>
      <c r="W695">
        <v>0</v>
      </c>
      <c r="X695">
        <v>2</v>
      </c>
      <c r="Y695">
        <v>0</v>
      </c>
      <c r="AA695">
        <v>0</v>
      </c>
      <c r="AB695">
        <v>9</v>
      </c>
      <c r="AC695">
        <v>3</v>
      </c>
      <c r="AD695">
        <v>0</v>
      </c>
      <c r="AE695">
        <v>10</v>
      </c>
      <c r="AF695" t="s">
        <v>126</v>
      </c>
      <c r="AG695">
        <v>0</v>
      </c>
      <c r="AH695">
        <v>0</v>
      </c>
      <c r="AI695">
        <v>2</v>
      </c>
      <c r="AJ695">
        <v>0</v>
      </c>
      <c r="AK695" t="s">
        <v>490</v>
      </c>
      <c r="AL695">
        <v>31.923801999999998</v>
      </c>
      <c r="AM695" t="s">
        <v>491</v>
      </c>
      <c r="AN695">
        <v>-101.03907100000001</v>
      </c>
      <c r="AQ695" t="s">
        <v>129</v>
      </c>
      <c r="AR695">
        <v>88</v>
      </c>
      <c r="AS695">
        <v>-8</v>
      </c>
      <c r="AT695">
        <v>256</v>
      </c>
      <c r="BB695" t="str">
        <f t="shared" si="80"/>
        <v>1200</v>
      </c>
      <c r="BC695">
        <v>1</v>
      </c>
      <c r="BD695" t="str">
        <f t="shared" si="81"/>
        <v xml:space="preserve">N745MB  </v>
      </c>
      <c r="BE695">
        <v>1</v>
      </c>
      <c r="BG695">
        <v>0</v>
      </c>
      <c r="BH695">
        <v>0</v>
      </c>
      <c r="BI695">
        <v>0</v>
      </c>
      <c r="BL695" t="s">
        <v>130</v>
      </c>
      <c r="BM695">
        <v>1</v>
      </c>
      <c r="BN695">
        <v>0</v>
      </c>
      <c r="BO695">
        <v>0</v>
      </c>
      <c r="BP695">
        <v>0</v>
      </c>
      <c r="BT695">
        <v>0</v>
      </c>
      <c r="BU695">
        <v>0</v>
      </c>
      <c r="CE695" t="str">
        <f>"20:24:16.723"</f>
        <v>20:24:16.723</v>
      </c>
      <c r="CF695">
        <v>723136537</v>
      </c>
      <c r="CS695">
        <v>0</v>
      </c>
      <c r="CT695">
        <v>2</v>
      </c>
      <c r="CU695">
        <v>0</v>
      </c>
      <c r="CV695">
        <v>2</v>
      </c>
      <c r="CW695">
        <v>0</v>
      </c>
      <c r="CX695">
        <v>2</v>
      </c>
      <c r="CY695">
        <v>7</v>
      </c>
      <c r="CZ695" t="s">
        <v>131</v>
      </c>
      <c r="DA695">
        <v>116</v>
      </c>
      <c r="DB695">
        <v>3</v>
      </c>
      <c r="DC695" t="s">
        <v>132</v>
      </c>
      <c r="DD695" t="s">
        <v>133</v>
      </c>
      <c r="DG695">
        <v>8358463</v>
      </c>
      <c r="DI695">
        <v>0</v>
      </c>
      <c r="DJ695">
        <v>0</v>
      </c>
      <c r="DK695">
        <v>1</v>
      </c>
      <c r="DL695">
        <v>0</v>
      </c>
      <c r="DM695">
        <v>0</v>
      </c>
      <c r="DN695">
        <v>0</v>
      </c>
      <c r="DO695">
        <v>0</v>
      </c>
      <c r="DP695">
        <v>1</v>
      </c>
      <c r="DQ695">
        <v>0</v>
      </c>
      <c r="DR695">
        <v>0</v>
      </c>
      <c r="DS695">
        <v>0</v>
      </c>
    </row>
    <row r="696" spans="1:123" x14ac:dyDescent="0.25">
      <c r="A696" t="str">
        <f>"11/29/2023 20:24:17.133"</f>
        <v>11/29/2023 20:24:17.133</v>
      </c>
      <c r="C696" t="str">
        <f t="shared" si="83"/>
        <v>FFDF53C0</v>
      </c>
      <c r="D696" t="s">
        <v>123</v>
      </c>
      <c r="E696">
        <v>14</v>
      </c>
      <c r="F696">
        <v>1014</v>
      </c>
      <c r="G696" t="s">
        <v>124</v>
      </c>
      <c r="J696" t="s">
        <v>125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"20:24:16.719"</f>
        <v>20:24:16.719</v>
      </c>
      <c r="T696" t="str">
        <f>"20:24:16.419"</f>
        <v>20:24:16.419</v>
      </c>
      <c r="U696" t="str">
        <f t="shared" si="79"/>
        <v>AA0632</v>
      </c>
      <c r="V696">
        <v>0</v>
      </c>
      <c r="W696">
        <v>0</v>
      </c>
      <c r="X696">
        <v>2</v>
      </c>
      <c r="Y696">
        <v>0</v>
      </c>
      <c r="AA696">
        <v>0</v>
      </c>
      <c r="AB696">
        <v>9</v>
      </c>
      <c r="AC696">
        <v>3</v>
      </c>
      <c r="AD696">
        <v>0</v>
      </c>
      <c r="AE696">
        <v>10</v>
      </c>
      <c r="AF696" t="s">
        <v>126</v>
      </c>
      <c r="AG696">
        <v>0</v>
      </c>
      <c r="AH696">
        <v>0</v>
      </c>
      <c r="AI696">
        <v>2</v>
      </c>
      <c r="AJ696">
        <v>0</v>
      </c>
      <c r="AK696" t="s">
        <v>490</v>
      </c>
      <c r="AL696">
        <v>31.923801999999998</v>
      </c>
      <c r="AM696" t="s">
        <v>491</v>
      </c>
      <c r="AN696">
        <v>-101.03907100000001</v>
      </c>
      <c r="AQ696" t="s">
        <v>129</v>
      </c>
      <c r="AR696">
        <v>88</v>
      </c>
      <c r="AS696">
        <v>-8</v>
      </c>
      <c r="AT696">
        <v>256</v>
      </c>
      <c r="BB696" t="str">
        <f t="shared" si="80"/>
        <v>1200</v>
      </c>
      <c r="BC696">
        <v>1</v>
      </c>
      <c r="BD696" t="str">
        <f t="shared" si="81"/>
        <v xml:space="preserve">N745MB  </v>
      </c>
      <c r="BE696">
        <v>1</v>
      </c>
      <c r="BG696">
        <v>0</v>
      </c>
      <c r="BH696">
        <v>0</v>
      </c>
      <c r="BI696">
        <v>0</v>
      </c>
      <c r="BL696" t="s">
        <v>130</v>
      </c>
      <c r="BM696">
        <v>1</v>
      </c>
      <c r="BN696">
        <v>0</v>
      </c>
      <c r="BO696">
        <v>0</v>
      </c>
      <c r="BP696">
        <v>0</v>
      </c>
      <c r="BT696">
        <v>0</v>
      </c>
      <c r="BU696">
        <v>0</v>
      </c>
      <c r="CE696" t="str">
        <f>"20:24:16.723"</f>
        <v>20:24:16.723</v>
      </c>
      <c r="CF696">
        <v>723136537</v>
      </c>
      <c r="CS696">
        <v>0</v>
      </c>
      <c r="CT696">
        <v>2</v>
      </c>
      <c r="CU696">
        <v>0</v>
      </c>
      <c r="CV696">
        <v>2</v>
      </c>
      <c r="CW696">
        <v>0</v>
      </c>
      <c r="CX696">
        <v>2</v>
      </c>
      <c r="CY696">
        <v>7</v>
      </c>
      <c r="CZ696" t="s">
        <v>131</v>
      </c>
      <c r="DA696">
        <v>116</v>
      </c>
      <c r="DB696">
        <v>3</v>
      </c>
      <c r="DC696" t="s">
        <v>132</v>
      </c>
      <c r="DD696" t="s">
        <v>133</v>
      </c>
      <c r="DG696">
        <v>8358463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1</v>
      </c>
      <c r="DQ696">
        <v>0</v>
      </c>
      <c r="DR696">
        <v>0</v>
      </c>
      <c r="DS696">
        <v>0</v>
      </c>
    </row>
    <row r="697" spans="1:123" x14ac:dyDescent="0.25">
      <c r="A697" t="str">
        <f>"11/29/2023 20:24:17.133"</f>
        <v>11/29/2023 20:24:17.133</v>
      </c>
      <c r="C697" t="str">
        <f t="shared" si="83"/>
        <v>FFDF53C0</v>
      </c>
      <c r="D697" t="s">
        <v>123</v>
      </c>
      <c r="E697">
        <v>1</v>
      </c>
      <c r="F697">
        <v>1001</v>
      </c>
      <c r="G697" t="s">
        <v>134</v>
      </c>
      <c r="J697" t="s">
        <v>125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"20:24:16.719"</f>
        <v>20:24:16.719</v>
      </c>
      <c r="T697" t="str">
        <f>"20:24:16.419"</f>
        <v>20:24:16.419</v>
      </c>
      <c r="U697" t="str">
        <f t="shared" si="79"/>
        <v>AA0632</v>
      </c>
      <c r="V697">
        <v>0</v>
      </c>
      <c r="W697">
        <v>0</v>
      </c>
      <c r="X697">
        <v>2</v>
      </c>
      <c r="Y697">
        <v>0</v>
      </c>
      <c r="AA697">
        <v>0</v>
      </c>
      <c r="AB697">
        <v>9</v>
      </c>
      <c r="AC697">
        <v>3</v>
      </c>
      <c r="AD697">
        <v>0</v>
      </c>
      <c r="AE697">
        <v>10</v>
      </c>
      <c r="AF697" t="s">
        <v>126</v>
      </c>
      <c r="AG697">
        <v>0</v>
      </c>
      <c r="AH697">
        <v>0</v>
      </c>
      <c r="AI697">
        <v>2</v>
      </c>
      <c r="AJ697">
        <v>0</v>
      </c>
      <c r="AK697" t="s">
        <v>490</v>
      </c>
      <c r="AL697">
        <v>31.923801999999998</v>
      </c>
      <c r="AM697" t="s">
        <v>491</v>
      </c>
      <c r="AN697">
        <v>-101.03907100000001</v>
      </c>
      <c r="AQ697" t="s">
        <v>129</v>
      </c>
      <c r="AR697">
        <v>88</v>
      </c>
      <c r="AS697">
        <v>-8</v>
      </c>
      <c r="AT697">
        <v>256</v>
      </c>
      <c r="BB697" t="str">
        <f t="shared" si="80"/>
        <v>1200</v>
      </c>
      <c r="BC697">
        <v>1</v>
      </c>
      <c r="BD697" t="str">
        <f t="shared" si="81"/>
        <v xml:space="preserve">N745MB  </v>
      </c>
      <c r="BE697">
        <v>1</v>
      </c>
      <c r="BG697">
        <v>0</v>
      </c>
      <c r="BH697">
        <v>0</v>
      </c>
      <c r="BI697">
        <v>0</v>
      </c>
      <c r="BL697" t="s">
        <v>130</v>
      </c>
      <c r="BM697">
        <v>1</v>
      </c>
      <c r="BN697">
        <v>0</v>
      </c>
      <c r="BO697">
        <v>0</v>
      </c>
      <c r="BP697">
        <v>0</v>
      </c>
      <c r="BT697">
        <v>0</v>
      </c>
      <c r="BU697">
        <v>0</v>
      </c>
      <c r="CE697" t="str">
        <f>"20:24:16.723"</f>
        <v>20:24:16.723</v>
      </c>
      <c r="CF697">
        <v>723136537</v>
      </c>
      <c r="CS697">
        <v>0</v>
      </c>
      <c r="CT697">
        <v>2</v>
      </c>
      <c r="CU697">
        <v>0</v>
      </c>
      <c r="CV697">
        <v>2</v>
      </c>
      <c r="CW697">
        <v>0</v>
      </c>
      <c r="CX697">
        <v>2</v>
      </c>
      <c r="CY697">
        <v>7</v>
      </c>
      <c r="CZ697" t="s">
        <v>131</v>
      </c>
      <c r="DA697">
        <v>116</v>
      </c>
      <c r="DB697">
        <v>3</v>
      </c>
      <c r="DC697" t="s">
        <v>132</v>
      </c>
      <c r="DD697" t="s">
        <v>133</v>
      </c>
      <c r="DG697">
        <v>8358463</v>
      </c>
      <c r="DI697">
        <v>0</v>
      </c>
      <c r="DJ697">
        <v>0</v>
      </c>
      <c r="DK697">
        <v>1</v>
      </c>
      <c r="DL697">
        <v>0</v>
      </c>
      <c r="DM697">
        <v>0</v>
      </c>
      <c r="DN697">
        <v>0</v>
      </c>
      <c r="DO697">
        <v>0</v>
      </c>
      <c r="DP697">
        <v>1</v>
      </c>
      <c r="DQ697">
        <v>0</v>
      </c>
      <c r="DR697">
        <v>0</v>
      </c>
      <c r="DS697">
        <v>0</v>
      </c>
    </row>
    <row r="698" spans="1:123" x14ac:dyDescent="0.25">
      <c r="A698" t="str">
        <f>"11/29/2023 20:24:19.086"</f>
        <v>11/29/2023 20:24:19.086</v>
      </c>
      <c r="C698" t="str">
        <f t="shared" si="83"/>
        <v>FFDF53C0</v>
      </c>
      <c r="D698" t="s">
        <v>138</v>
      </c>
      <c r="E698">
        <v>3</v>
      </c>
      <c r="H698">
        <v>160</v>
      </c>
      <c r="I698" t="s">
        <v>124</v>
      </c>
      <c r="J698" t="s">
        <v>139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"20:24:18.750"</f>
        <v>20:24:18.750</v>
      </c>
      <c r="T698" t="str">
        <f>"20:24:18.450"</f>
        <v>20:24:18.450</v>
      </c>
      <c r="U698" t="str">
        <f t="shared" si="79"/>
        <v>AA0632</v>
      </c>
      <c r="V698">
        <v>0</v>
      </c>
      <c r="W698">
        <v>0</v>
      </c>
      <c r="X698">
        <v>2</v>
      </c>
      <c r="Y698">
        <v>0</v>
      </c>
      <c r="AA698">
        <v>0</v>
      </c>
      <c r="AB698">
        <v>9</v>
      </c>
      <c r="AC698">
        <v>3</v>
      </c>
      <c r="AD698">
        <v>0</v>
      </c>
      <c r="AE698">
        <v>10</v>
      </c>
      <c r="AF698" t="s">
        <v>126</v>
      </c>
      <c r="AG698">
        <v>0</v>
      </c>
      <c r="AH698">
        <v>0</v>
      </c>
      <c r="AI698">
        <v>2</v>
      </c>
      <c r="AJ698">
        <v>0</v>
      </c>
      <c r="AK698" t="s">
        <v>492</v>
      </c>
      <c r="AL698">
        <v>31.923715999999999</v>
      </c>
      <c r="AM698" t="s">
        <v>493</v>
      </c>
      <c r="AN698">
        <v>-101.038127</v>
      </c>
      <c r="AQ698" t="s">
        <v>129</v>
      </c>
      <c r="AR698">
        <v>87</v>
      </c>
      <c r="AS698">
        <v>-9</v>
      </c>
      <c r="AT698">
        <v>192</v>
      </c>
      <c r="BB698" t="str">
        <f t="shared" si="80"/>
        <v>1200</v>
      </c>
      <c r="BC698">
        <v>1</v>
      </c>
      <c r="BD698" t="str">
        <f t="shared" si="81"/>
        <v xml:space="preserve">N745MB  </v>
      </c>
      <c r="BE698">
        <v>1</v>
      </c>
      <c r="BG698">
        <v>0</v>
      </c>
      <c r="BH698">
        <v>0</v>
      </c>
      <c r="BI698">
        <v>0</v>
      </c>
      <c r="BL698" t="s">
        <v>130</v>
      </c>
      <c r="BM698">
        <v>1</v>
      </c>
      <c r="BN698">
        <v>0</v>
      </c>
      <c r="BO698">
        <v>0</v>
      </c>
      <c r="BP698">
        <v>0</v>
      </c>
      <c r="BT698">
        <v>0</v>
      </c>
      <c r="BU698">
        <v>0</v>
      </c>
      <c r="CE698" t="str">
        <f>"20:24:18.757"</f>
        <v>20:24:18.757</v>
      </c>
      <c r="CF698">
        <v>756999773</v>
      </c>
      <c r="CS698">
        <v>0</v>
      </c>
      <c r="CT698">
        <v>2</v>
      </c>
      <c r="CU698">
        <v>0</v>
      </c>
      <c r="CV698">
        <v>2</v>
      </c>
      <c r="CW698">
        <v>0</v>
      </c>
      <c r="CX698">
        <v>3</v>
      </c>
      <c r="CY698">
        <v>7</v>
      </c>
      <c r="CZ698" t="s">
        <v>131</v>
      </c>
      <c r="DA698">
        <v>116</v>
      </c>
      <c r="DB698">
        <v>3</v>
      </c>
      <c r="DC698" t="s">
        <v>132</v>
      </c>
      <c r="DD698" t="s">
        <v>133</v>
      </c>
      <c r="DG698">
        <v>8359497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1</v>
      </c>
      <c r="DQ698">
        <v>0</v>
      </c>
      <c r="DR698">
        <v>0</v>
      </c>
      <c r="DS698">
        <v>0</v>
      </c>
    </row>
    <row r="699" spans="1:123" x14ac:dyDescent="0.25">
      <c r="A699" t="str">
        <f>"11/29/2023 20:24:19.086"</f>
        <v>11/29/2023 20:24:19.086</v>
      </c>
      <c r="C699" t="str">
        <f t="shared" si="83"/>
        <v>FFDF53C0</v>
      </c>
      <c r="D699" t="s">
        <v>135</v>
      </c>
      <c r="E699">
        <v>31</v>
      </c>
      <c r="H699">
        <v>285</v>
      </c>
      <c r="I699" t="s">
        <v>136</v>
      </c>
      <c r="J699" t="s">
        <v>137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"20:24:18.750"</f>
        <v>20:24:18.750</v>
      </c>
      <c r="T699" t="str">
        <f>"20:24:18.450"</f>
        <v>20:24:18.450</v>
      </c>
      <c r="U699" t="str">
        <f t="shared" si="79"/>
        <v>AA0632</v>
      </c>
      <c r="V699">
        <v>0</v>
      </c>
      <c r="W699">
        <v>0</v>
      </c>
      <c r="X699">
        <v>2</v>
      </c>
      <c r="Y699">
        <v>0</v>
      </c>
      <c r="AA699">
        <v>0</v>
      </c>
      <c r="AB699">
        <v>9</v>
      </c>
      <c r="AC699">
        <v>3</v>
      </c>
      <c r="AD699">
        <v>0</v>
      </c>
      <c r="AE699">
        <v>10</v>
      </c>
      <c r="AF699" t="s">
        <v>126</v>
      </c>
      <c r="AG699">
        <v>0</v>
      </c>
      <c r="AH699">
        <v>0</v>
      </c>
      <c r="AI699">
        <v>2</v>
      </c>
      <c r="AJ699">
        <v>0</v>
      </c>
      <c r="AK699" t="s">
        <v>492</v>
      </c>
      <c r="AL699">
        <v>31.923715999999999</v>
      </c>
      <c r="AM699" t="s">
        <v>493</v>
      </c>
      <c r="AN699">
        <v>-101.038127</v>
      </c>
      <c r="AQ699" t="s">
        <v>129</v>
      </c>
      <c r="AR699">
        <v>87</v>
      </c>
      <c r="AS699">
        <v>-9</v>
      </c>
      <c r="AT699">
        <v>192</v>
      </c>
      <c r="BB699" t="str">
        <f t="shared" si="80"/>
        <v>1200</v>
      </c>
      <c r="BC699">
        <v>1</v>
      </c>
      <c r="BD699" t="str">
        <f t="shared" si="81"/>
        <v xml:space="preserve">N745MB  </v>
      </c>
      <c r="BE699">
        <v>1</v>
      </c>
      <c r="BG699">
        <v>0</v>
      </c>
      <c r="BH699">
        <v>0</v>
      </c>
      <c r="BI699">
        <v>0</v>
      </c>
      <c r="BL699" t="s">
        <v>130</v>
      </c>
      <c r="BM699">
        <v>1</v>
      </c>
      <c r="BN699">
        <v>0</v>
      </c>
      <c r="BO699">
        <v>0</v>
      </c>
      <c r="BP699">
        <v>0</v>
      </c>
      <c r="BT699">
        <v>0</v>
      </c>
      <c r="BU699">
        <v>0</v>
      </c>
      <c r="CE699" t="str">
        <f>"20:24:18.757"</f>
        <v>20:24:18.757</v>
      </c>
      <c r="CF699">
        <v>756999773</v>
      </c>
      <c r="CS699">
        <v>0</v>
      </c>
      <c r="CT699">
        <v>2</v>
      </c>
      <c r="CU699">
        <v>0</v>
      </c>
      <c r="CV699">
        <v>2</v>
      </c>
      <c r="CW699">
        <v>0</v>
      </c>
      <c r="CX699">
        <v>3</v>
      </c>
      <c r="CY699">
        <v>7</v>
      </c>
      <c r="CZ699" t="s">
        <v>131</v>
      </c>
      <c r="DA699">
        <v>116</v>
      </c>
      <c r="DB699">
        <v>3</v>
      </c>
      <c r="DC699" t="s">
        <v>132</v>
      </c>
      <c r="DD699" t="s">
        <v>133</v>
      </c>
      <c r="DG699">
        <v>8359497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1</v>
      </c>
      <c r="DQ699">
        <v>0</v>
      </c>
      <c r="DR699">
        <v>0</v>
      </c>
      <c r="DS699">
        <v>0</v>
      </c>
    </row>
    <row r="700" spans="1:123" x14ac:dyDescent="0.25">
      <c r="A700" t="str">
        <f>"11/29/2023 20:24:19.086"</f>
        <v>11/29/2023 20:24:19.086</v>
      </c>
      <c r="C700" t="str">
        <f t="shared" si="83"/>
        <v>FFDF53C0</v>
      </c>
      <c r="D700" t="s">
        <v>123</v>
      </c>
      <c r="E700">
        <v>14</v>
      </c>
      <c r="F700">
        <v>1014</v>
      </c>
      <c r="G700" t="s">
        <v>124</v>
      </c>
      <c r="J700" t="s">
        <v>125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"20:24:18.750"</f>
        <v>20:24:18.750</v>
      </c>
      <c r="T700" t="str">
        <f>"20:24:18.450"</f>
        <v>20:24:18.450</v>
      </c>
      <c r="U700" t="str">
        <f t="shared" si="79"/>
        <v>AA0632</v>
      </c>
      <c r="V700">
        <v>0</v>
      </c>
      <c r="W700">
        <v>0</v>
      </c>
      <c r="X700">
        <v>2</v>
      </c>
      <c r="Y700">
        <v>0</v>
      </c>
      <c r="AA700">
        <v>0</v>
      </c>
      <c r="AB700">
        <v>9</v>
      </c>
      <c r="AC700">
        <v>3</v>
      </c>
      <c r="AD700">
        <v>0</v>
      </c>
      <c r="AE700">
        <v>10</v>
      </c>
      <c r="AF700" t="s">
        <v>126</v>
      </c>
      <c r="AG700">
        <v>0</v>
      </c>
      <c r="AH700">
        <v>0</v>
      </c>
      <c r="AI700">
        <v>2</v>
      </c>
      <c r="AJ700">
        <v>0</v>
      </c>
      <c r="AK700" t="s">
        <v>492</v>
      </c>
      <c r="AL700">
        <v>31.923715999999999</v>
      </c>
      <c r="AM700" t="s">
        <v>493</v>
      </c>
      <c r="AN700">
        <v>-101.038127</v>
      </c>
      <c r="AQ700" t="s">
        <v>129</v>
      </c>
      <c r="AR700">
        <v>87</v>
      </c>
      <c r="AS700">
        <v>-9</v>
      </c>
      <c r="AT700">
        <v>192</v>
      </c>
      <c r="BB700" t="str">
        <f t="shared" si="80"/>
        <v>1200</v>
      </c>
      <c r="BC700">
        <v>1</v>
      </c>
      <c r="BD700" t="str">
        <f t="shared" si="81"/>
        <v xml:space="preserve">N745MB  </v>
      </c>
      <c r="BE700">
        <v>1</v>
      </c>
      <c r="BG700">
        <v>0</v>
      </c>
      <c r="BH700">
        <v>0</v>
      </c>
      <c r="BI700">
        <v>0</v>
      </c>
      <c r="BL700" t="s">
        <v>130</v>
      </c>
      <c r="BM700">
        <v>1</v>
      </c>
      <c r="BN700">
        <v>0</v>
      </c>
      <c r="BO700">
        <v>0</v>
      </c>
      <c r="BP700">
        <v>0</v>
      </c>
      <c r="BT700">
        <v>0</v>
      </c>
      <c r="BU700">
        <v>0</v>
      </c>
      <c r="CE700" t="str">
        <f>"20:24:18.757"</f>
        <v>20:24:18.757</v>
      </c>
      <c r="CF700">
        <v>756999773</v>
      </c>
      <c r="CS700">
        <v>0</v>
      </c>
      <c r="CT700">
        <v>2</v>
      </c>
      <c r="CU700">
        <v>0</v>
      </c>
      <c r="CV700">
        <v>2</v>
      </c>
      <c r="CW700">
        <v>0</v>
      </c>
      <c r="CX700">
        <v>3</v>
      </c>
      <c r="CY700">
        <v>7</v>
      </c>
      <c r="CZ700" t="s">
        <v>131</v>
      </c>
      <c r="DA700">
        <v>116</v>
      </c>
      <c r="DB700">
        <v>3</v>
      </c>
      <c r="DC700" t="s">
        <v>132</v>
      </c>
      <c r="DD700" t="s">
        <v>133</v>
      </c>
      <c r="DG700">
        <v>8359497</v>
      </c>
      <c r="DI700">
        <v>0</v>
      </c>
      <c r="DJ700">
        <v>0</v>
      </c>
      <c r="DK700">
        <v>1</v>
      </c>
      <c r="DL700">
        <v>0</v>
      </c>
      <c r="DM700">
        <v>0</v>
      </c>
      <c r="DN700">
        <v>0</v>
      </c>
      <c r="DO700">
        <v>0</v>
      </c>
      <c r="DP700">
        <v>1</v>
      </c>
      <c r="DQ700">
        <v>0</v>
      </c>
      <c r="DR700">
        <v>0</v>
      </c>
      <c r="DS700">
        <v>0</v>
      </c>
    </row>
    <row r="701" spans="1:123" x14ac:dyDescent="0.25">
      <c r="A701" t="str">
        <f>"11/29/2023 20:24:19.086"</f>
        <v>11/29/2023 20:24:19.086</v>
      </c>
      <c r="C701" t="str">
        <f t="shared" si="83"/>
        <v>FFDF53C0</v>
      </c>
      <c r="D701" t="s">
        <v>123</v>
      </c>
      <c r="E701">
        <v>1</v>
      </c>
      <c r="F701">
        <v>1001</v>
      </c>
      <c r="G701" t="s">
        <v>134</v>
      </c>
      <c r="J701" t="s">
        <v>125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"20:24:18.750"</f>
        <v>20:24:18.750</v>
      </c>
      <c r="T701" t="str">
        <f>"20:24:18.450"</f>
        <v>20:24:18.450</v>
      </c>
      <c r="U701" t="str">
        <f t="shared" si="79"/>
        <v>AA0632</v>
      </c>
      <c r="V701">
        <v>0</v>
      </c>
      <c r="W701">
        <v>0</v>
      </c>
      <c r="X701">
        <v>2</v>
      </c>
      <c r="Y701">
        <v>0</v>
      </c>
      <c r="AA701">
        <v>0</v>
      </c>
      <c r="AB701">
        <v>9</v>
      </c>
      <c r="AC701">
        <v>3</v>
      </c>
      <c r="AD701">
        <v>0</v>
      </c>
      <c r="AE701">
        <v>10</v>
      </c>
      <c r="AF701" t="s">
        <v>126</v>
      </c>
      <c r="AG701">
        <v>0</v>
      </c>
      <c r="AH701">
        <v>0</v>
      </c>
      <c r="AI701">
        <v>2</v>
      </c>
      <c r="AJ701">
        <v>0</v>
      </c>
      <c r="AK701" t="s">
        <v>492</v>
      </c>
      <c r="AL701">
        <v>31.923715999999999</v>
      </c>
      <c r="AM701" t="s">
        <v>493</v>
      </c>
      <c r="AN701">
        <v>-101.038127</v>
      </c>
      <c r="AQ701" t="s">
        <v>129</v>
      </c>
      <c r="AR701">
        <v>87</v>
      </c>
      <c r="AS701">
        <v>-9</v>
      </c>
      <c r="AT701">
        <v>192</v>
      </c>
      <c r="BB701" t="str">
        <f t="shared" si="80"/>
        <v>1200</v>
      </c>
      <c r="BC701">
        <v>1</v>
      </c>
      <c r="BD701" t="str">
        <f t="shared" si="81"/>
        <v xml:space="preserve">N745MB  </v>
      </c>
      <c r="BE701">
        <v>1</v>
      </c>
      <c r="BG701">
        <v>0</v>
      </c>
      <c r="BH701">
        <v>0</v>
      </c>
      <c r="BI701">
        <v>0</v>
      </c>
      <c r="BL701" t="s">
        <v>130</v>
      </c>
      <c r="BM701">
        <v>1</v>
      </c>
      <c r="BN701">
        <v>0</v>
      </c>
      <c r="BO701">
        <v>0</v>
      </c>
      <c r="BP701">
        <v>0</v>
      </c>
      <c r="BT701">
        <v>0</v>
      </c>
      <c r="BU701">
        <v>0</v>
      </c>
      <c r="CE701" t="str">
        <f>"20:24:18.757"</f>
        <v>20:24:18.757</v>
      </c>
      <c r="CF701">
        <v>756999773</v>
      </c>
      <c r="CS701">
        <v>0</v>
      </c>
      <c r="CT701">
        <v>2</v>
      </c>
      <c r="CU701">
        <v>0</v>
      </c>
      <c r="CV701">
        <v>2</v>
      </c>
      <c r="CW701">
        <v>0</v>
      </c>
      <c r="CX701">
        <v>3</v>
      </c>
      <c r="CY701">
        <v>7</v>
      </c>
      <c r="CZ701" t="s">
        <v>131</v>
      </c>
      <c r="DA701">
        <v>116</v>
      </c>
      <c r="DB701">
        <v>3</v>
      </c>
      <c r="DC701" t="s">
        <v>132</v>
      </c>
      <c r="DD701" t="s">
        <v>133</v>
      </c>
      <c r="DG701">
        <v>8359497</v>
      </c>
      <c r="DI701">
        <v>0</v>
      </c>
      <c r="DJ701">
        <v>0</v>
      </c>
      <c r="DK701">
        <v>1</v>
      </c>
      <c r="DL701">
        <v>0</v>
      </c>
      <c r="DM701">
        <v>0</v>
      </c>
      <c r="DN701">
        <v>0</v>
      </c>
      <c r="DO701">
        <v>0</v>
      </c>
      <c r="DP701">
        <v>1</v>
      </c>
      <c r="DQ701">
        <v>0</v>
      </c>
      <c r="DR701">
        <v>0</v>
      </c>
      <c r="DS701">
        <v>0</v>
      </c>
    </row>
    <row r="702" spans="1:123" x14ac:dyDescent="0.25">
      <c r="A702" t="str">
        <f>"11/29/2023 20:24:20.633"</f>
        <v>11/29/2023 20:24:20.633</v>
      </c>
      <c r="C702" t="str">
        <f t="shared" si="83"/>
        <v>FFDF53C0</v>
      </c>
      <c r="D702" t="s">
        <v>123</v>
      </c>
      <c r="E702">
        <v>14</v>
      </c>
      <c r="F702">
        <v>1014</v>
      </c>
      <c r="G702" t="s">
        <v>124</v>
      </c>
      <c r="J702" t="s">
        <v>125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"20:24:20.289"</f>
        <v>20:24:20.289</v>
      </c>
      <c r="T702" t="str">
        <f>"20:24:20.089"</f>
        <v>20:24:20.089</v>
      </c>
      <c r="U702" t="str">
        <f t="shared" si="79"/>
        <v>AA0632</v>
      </c>
      <c r="V702">
        <v>0</v>
      </c>
      <c r="W702">
        <v>0</v>
      </c>
      <c r="X702">
        <v>2</v>
      </c>
      <c r="Y702">
        <v>0</v>
      </c>
      <c r="AA702">
        <v>0</v>
      </c>
      <c r="AB702">
        <v>9</v>
      </c>
      <c r="AC702">
        <v>3</v>
      </c>
      <c r="AD702">
        <v>0</v>
      </c>
      <c r="AE702">
        <v>10</v>
      </c>
      <c r="AF702" t="s">
        <v>126</v>
      </c>
      <c r="AG702">
        <v>0</v>
      </c>
      <c r="AH702">
        <v>0</v>
      </c>
      <c r="AI702">
        <v>2</v>
      </c>
      <c r="AJ702">
        <v>0</v>
      </c>
      <c r="AK702" t="s">
        <v>494</v>
      </c>
      <c r="AL702">
        <v>31.923673000000001</v>
      </c>
      <c r="AM702" t="s">
        <v>495</v>
      </c>
      <c r="AN702">
        <v>-101.037397</v>
      </c>
      <c r="AQ702" t="s">
        <v>129</v>
      </c>
      <c r="AR702">
        <v>86</v>
      </c>
      <c r="AS702">
        <v>-9</v>
      </c>
      <c r="AT702">
        <v>320</v>
      </c>
      <c r="BB702" t="str">
        <f t="shared" si="80"/>
        <v>1200</v>
      </c>
      <c r="BC702">
        <v>1</v>
      </c>
      <c r="BD702" t="str">
        <f t="shared" si="81"/>
        <v xml:space="preserve">N745MB  </v>
      </c>
      <c r="BE702">
        <v>1</v>
      </c>
      <c r="BG702">
        <v>0</v>
      </c>
      <c r="BH702">
        <v>0</v>
      </c>
      <c r="BI702">
        <v>0</v>
      </c>
      <c r="BL702" t="s">
        <v>130</v>
      </c>
      <c r="BM702">
        <v>1</v>
      </c>
      <c r="BN702">
        <v>0</v>
      </c>
      <c r="BO702">
        <v>0</v>
      </c>
      <c r="BP702">
        <v>0</v>
      </c>
      <c r="BT702">
        <v>0</v>
      </c>
      <c r="BU702">
        <v>0</v>
      </c>
      <c r="CE702" t="str">
        <f>"20:24:20.291"</f>
        <v>20:24:20.291</v>
      </c>
      <c r="CF702">
        <v>290896290</v>
      </c>
      <c r="CS702">
        <v>0</v>
      </c>
      <c r="CT702">
        <v>2</v>
      </c>
      <c r="CU702">
        <v>0</v>
      </c>
      <c r="CV702">
        <v>2</v>
      </c>
      <c r="CW702">
        <v>0</v>
      </c>
      <c r="CX702">
        <v>4</v>
      </c>
      <c r="CY702">
        <v>7</v>
      </c>
      <c r="CZ702" t="s">
        <v>131</v>
      </c>
      <c r="DA702">
        <v>116</v>
      </c>
      <c r="DB702">
        <v>3</v>
      </c>
      <c r="DC702" t="s">
        <v>132</v>
      </c>
      <c r="DD702" t="s">
        <v>133</v>
      </c>
      <c r="DG702">
        <v>8360297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1</v>
      </c>
      <c r="DQ702">
        <v>0</v>
      </c>
      <c r="DR702">
        <v>0</v>
      </c>
      <c r="DS702">
        <v>0</v>
      </c>
    </row>
    <row r="703" spans="1:123" x14ac:dyDescent="0.25">
      <c r="A703" t="str">
        <f>"11/29/2023 20:24:20.633"</f>
        <v>11/29/2023 20:24:20.633</v>
      </c>
      <c r="C703" t="str">
        <f t="shared" si="83"/>
        <v>FFDF53C0</v>
      </c>
      <c r="D703" t="s">
        <v>123</v>
      </c>
      <c r="E703">
        <v>1</v>
      </c>
      <c r="F703">
        <v>1001</v>
      </c>
      <c r="G703" t="s">
        <v>134</v>
      </c>
      <c r="J703" t="s">
        <v>125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"20:24:20.289"</f>
        <v>20:24:20.289</v>
      </c>
      <c r="T703" t="str">
        <f>"20:24:20.089"</f>
        <v>20:24:20.089</v>
      </c>
      <c r="U703" t="str">
        <f t="shared" si="79"/>
        <v>AA0632</v>
      </c>
      <c r="V703">
        <v>0</v>
      </c>
      <c r="W703">
        <v>0</v>
      </c>
      <c r="X703">
        <v>2</v>
      </c>
      <c r="Y703">
        <v>0</v>
      </c>
      <c r="AA703">
        <v>0</v>
      </c>
      <c r="AB703">
        <v>9</v>
      </c>
      <c r="AC703">
        <v>3</v>
      </c>
      <c r="AD703">
        <v>0</v>
      </c>
      <c r="AE703">
        <v>10</v>
      </c>
      <c r="AF703" t="s">
        <v>126</v>
      </c>
      <c r="AG703">
        <v>0</v>
      </c>
      <c r="AH703">
        <v>0</v>
      </c>
      <c r="AI703">
        <v>2</v>
      </c>
      <c r="AJ703">
        <v>0</v>
      </c>
      <c r="AK703" t="s">
        <v>494</v>
      </c>
      <c r="AL703">
        <v>31.923673000000001</v>
      </c>
      <c r="AM703" t="s">
        <v>495</v>
      </c>
      <c r="AN703">
        <v>-101.037397</v>
      </c>
      <c r="AQ703" t="s">
        <v>129</v>
      </c>
      <c r="AR703">
        <v>86</v>
      </c>
      <c r="AS703">
        <v>-9</v>
      </c>
      <c r="AT703">
        <v>320</v>
      </c>
      <c r="BB703" t="str">
        <f t="shared" si="80"/>
        <v>1200</v>
      </c>
      <c r="BC703">
        <v>1</v>
      </c>
      <c r="BD703" t="str">
        <f t="shared" si="81"/>
        <v xml:space="preserve">N745MB  </v>
      </c>
      <c r="BE703">
        <v>1</v>
      </c>
      <c r="BG703">
        <v>0</v>
      </c>
      <c r="BH703">
        <v>0</v>
      </c>
      <c r="BI703">
        <v>0</v>
      </c>
      <c r="BL703" t="s">
        <v>130</v>
      </c>
      <c r="BM703">
        <v>1</v>
      </c>
      <c r="BN703">
        <v>0</v>
      </c>
      <c r="BO703">
        <v>0</v>
      </c>
      <c r="BP703">
        <v>0</v>
      </c>
      <c r="BT703">
        <v>0</v>
      </c>
      <c r="BU703">
        <v>0</v>
      </c>
      <c r="CE703" t="str">
        <f>"20:24:20.291"</f>
        <v>20:24:20.291</v>
      </c>
      <c r="CF703">
        <v>290896290</v>
      </c>
      <c r="CS703">
        <v>0</v>
      </c>
      <c r="CT703">
        <v>2</v>
      </c>
      <c r="CU703">
        <v>0</v>
      </c>
      <c r="CV703">
        <v>2</v>
      </c>
      <c r="CW703">
        <v>0</v>
      </c>
      <c r="CX703">
        <v>4</v>
      </c>
      <c r="CY703">
        <v>7</v>
      </c>
      <c r="CZ703" t="s">
        <v>131</v>
      </c>
      <c r="DA703">
        <v>116</v>
      </c>
      <c r="DB703">
        <v>3</v>
      </c>
      <c r="DC703" t="s">
        <v>132</v>
      </c>
      <c r="DD703" t="s">
        <v>133</v>
      </c>
      <c r="DG703">
        <v>8360297</v>
      </c>
      <c r="DI703">
        <v>0</v>
      </c>
      <c r="DJ703">
        <v>0</v>
      </c>
      <c r="DK703">
        <v>1</v>
      </c>
      <c r="DL703">
        <v>0</v>
      </c>
      <c r="DM703">
        <v>0</v>
      </c>
      <c r="DN703">
        <v>0</v>
      </c>
      <c r="DO703">
        <v>0</v>
      </c>
      <c r="DP703">
        <v>1</v>
      </c>
      <c r="DQ703">
        <v>0</v>
      </c>
      <c r="DR703">
        <v>0</v>
      </c>
      <c r="DS703">
        <v>0</v>
      </c>
    </row>
    <row r="704" spans="1:123" x14ac:dyDescent="0.25">
      <c r="A704" t="str">
        <f>"11/29/2023 20:24:20.633"</f>
        <v>11/29/2023 20:24:20.633</v>
      </c>
      <c r="C704" t="str">
        <f t="shared" si="83"/>
        <v>FFDF53C0</v>
      </c>
      <c r="D704" t="s">
        <v>135</v>
      </c>
      <c r="E704">
        <v>31</v>
      </c>
      <c r="H704">
        <v>285</v>
      </c>
      <c r="I704" t="s">
        <v>136</v>
      </c>
      <c r="J704" t="s">
        <v>137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"20:24:20.289"</f>
        <v>20:24:20.289</v>
      </c>
      <c r="T704" t="str">
        <f>"20:24:20.089"</f>
        <v>20:24:20.089</v>
      </c>
      <c r="U704" t="str">
        <f t="shared" si="79"/>
        <v>AA0632</v>
      </c>
      <c r="V704">
        <v>0</v>
      </c>
      <c r="W704">
        <v>0</v>
      </c>
      <c r="X704">
        <v>2</v>
      </c>
      <c r="Y704">
        <v>0</v>
      </c>
      <c r="AA704">
        <v>0</v>
      </c>
      <c r="AB704">
        <v>9</v>
      </c>
      <c r="AC704">
        <v>3</v>
      </c>
      <c r="AD704">
        <v>0</v>
      </c>
      <c r="AE704">
        <v>10</v>
      </c>
      <c r="AF704" t="s">
        <v>126</v>
      </c>
      <c r="AG704">
        <v>0</v>
      </c>
      <c r="AH704">
        <v>0</v>
      </c>
      <c r="AI704">
        <v>2</v>
      </c>
      <c r="AJ704">
        <v>0</v>
      </c>
      <c r="AK704" t="s">
        <v>494</v>
      </c>
      <c r="AL704">
        <v>31.923673000000001</v>
      </c>
      <c r="AM704" t="s">
        <v>495</v>
      </c>
      <c r="AN704">
        <v>-101.037397</v>
      </c>
      <c r="AQ704" t="s">
        <v>129</v>
      </c>
      <c r="AR704">
        <v>86</v>
      </c>
      <c r="AS704">
        <v>-9</v>
      </c>
      <c r="AT704">
        <v>320</v>
      </c>
      <c r="BB704" t="str">
        <f t="shared" si="80"/>
        <v>1200</v>
      </c>
      <c r="BC704">
        <v>1</v>
      </c>
      <c r="BD704" t="str">
        <f t="shared" si="81"/>
        <v xml:space="preserve">N745MB  </v>
      </c>
      <c r="BE704">
        <v>1</v>
      </c>
      <c r="BG704">
        <v>0</v>
      </c>
      <c r="BH704">
        <v>0</v>
      </c>
      <c r="BI704">
        <v>0</v>
      </c>
      <c r="BL704" t="s">
        <v>130</v>
      </c>
      <c r="BM704">
        <v>1</v>
      </c>
      <c r="BN704">
        <v>0</v>
      </c>
      <c r="BO704">
        <v>0</v>
      </c>
      <c r="BP704">
        <v>0</v>
      </c>
      <c r="BT704">
        <v>0</v>
      </c>
      <c r="BU704">
        <v>0</v>
      </c>
      <c r="CE704" t="str">
        <f>"20:24:20.291"</f>
        <v>20:24:20.291</v>
      </c>
      <c r="CF704">
        <v>290896290</v>
      </c>
      <c r="CS704">
        <v>0</v>
      </c>
      <c r="CT704">
        <v>2</v>
      </c>
      <c r="CU704">
        <v>0</v>
      </c>
      <c r="CV704">
        <v>2</v>
      </c>
      <c r="CW704">
        <v>0</v>
      </c>
      <c r="CX704">
        <v>4</v>
      </c>
      <c r="CY704">
        <v>7</v>
      </c>
      <c r="CZ704" t="s">
        <v>131</v>
      </c>
      <c r="DA704">
        <v>116</v>
      </c>
      <c r="DB704">
        <v>3</v>
      </c>
      <c r="DC704" t="s">
        <v>132</v>
      </c>
      <c r="DD704" t="s">
        <v>133</v>
      </c>
      <c r="DG704">
        <v>8360297</v>
      </c>
      <c r="DI704">
        <v>0</v>
      </c>
      <c r="DJ704">
        <v>0</v>
      </c>
      <c r="DK704">
        <v>1</v>
      </c>
      <c r="DL704">
        <v>0</v>
      </c>
      <c r="DM704">
        <v>0</v>
      </c>
      <c r="DN704">
        <v>0</v>
      </c>
      <c r="DO704">
        <v>0</v>
      </c>
      <c r="DP704">
        <v>1</v>
      </c>
      <c r="DQ704">
        <v>0</v>
      </c>
      <c r="DR704">
        <v>0</v>
      </c>
      <c r="DS704">
        <v>0</v>
      </c>
    </row>
    <row r="705" spans="1:123" x14ac:dyDescent="0.25">
      <c r="A705" t="str">
        <f>"11/29/2023 20:24:20.664"</f>
        <v>11/29/2023 20:24:20.664</v>
      </c>
      <c r="C705" t="str">
        <f t="shared" si="83"/>
        <v>FFDF53C0</v>
      </c>
      <c r="D705" t="s">
        <v>138</v>
      </c>
      <c r="E705">
        <v>3</v>
      </c>
      <c r="H705">
        <v>160</v>
      </c>
      <c r="I705" t="s">
        <v>124</v>
      </c>
      <c r="J705" t="s">
        <v>139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"20:24:20.289"</f>
        <v>20:24:20.289</v>
      </c>
      <c r="T705" t="str">
        <f>"20:24:20.089"</f>
        <v>20:24:20.089</v>
      </c>
      <c r="U705" t="str">
        <f t="shared" si="79"/>
        <v>AA0632</v>
      </c>
      <c r="V705">
        <v>0</v>
      </c>
      <c r="W705">
        <v>0</v>
      </c>
      <c r="X705">
        <v>2</v>
      </c>
      <c r="Y705">
        <v>0</v>
      </c>
      <c r="AA705">
        <v>0</v>
      </c>
      <c r="AB705">
        <v>9</v>
      </c>
      <c r="AC705">
        <v>3</v>
      </c>
      <c r="AD705">
        <v>0</v>
      </c>
      <c r="AE705">
        <v>10</v>
      </c>
      <c r="AF705" t="s">
        <v>126</v>
      </c>
      <c r="AG705">
        <v>0</v>
      </c>
      <c r="AH705">
        <v>0</v>
      </c>
      <c r="AI705">
        <v>2</v>
      </c>
      <c r="AJ705">
        <v>0</v>
      </c>
      <c r="AK705" t="s">
        <v>494</v>
      </c>
      <c r="AL705">
        <v>31.923673000000001</v>
      </c>
      <c r="AM705" t="s">
        <v>495</v>
      </c>
      <c r="AN705">
        <v>-101.037397</v>
      </c>
      <c r="AQ705" t="s">
        <v>129</v>
      </c>
      <c r="AR705">
        <v>86</v>
      </c>
      <c r="AS705">
        <v>-9</v>
      </c>
      <c r="AT705">
        <v>320</v>
      </c>
      <c r="BB705" t="str">
        <f t="shared" si="80"/>
        <v>1200</v>
      </c>
      <c r="BC705">
        <v>1</v>
      </c>
      <c r="BD705" t="str">
        <f t="shared" si="81"/>
        <v xml:space="preserve">N745MB  </v>
      </c>
      <c r="BE705">
        <v>1</v>
      </c>
      <c r="BG705">
        <v>0</v>
      </c>
      <c r="BH705">
        <v>0</v>
      </c>
      <c r="BI705">
        <v>0</v>
      </c>
      <c r="BL705" t="s">
        <v>130</v>
      </c>
      <c r="BM705">
        <v>1</v>
      </c>
      <c r="BN705">
        <v>0</v>
      </c>
      <c r="BO705">
        <v>0</v>
      </c>
      <c r="BP705">
        <v>0</v>
      </c>
      <c r="BT705">
        <v>0</v>
      </c>
      <c r="BU705">
        <v>0</v>
      </c>
      <c r="CE705" t="str">
        <f>"20:24:20.291"</f>
        <v>20:24:20.291</v>
      </c>
      <c r="CF705">
        <v>290896290</v>
      </c>
      <c r="CS705">
        <v>0</v>
      </c>
      <c r="CT705">
        <v>2</v>
      </c>
      <c r="CU705">
        <v>0</v>
      </c>
      <c r="CV705">
        <v>2</v>
      </c>
      <c r="CW705">
        <v>0</v>
      </c>
      <c r="CX705">
        <v>4</v>
      </c>
      <c r="CY705">
        <v>7</v>
      </c>
      <c r="CZ705" t="s">
        <v>131</v>
      </c>
      <c r="DA705">
        <v>116</v>
      </c>
      <c r="DB705">
        <v>3</v>
      </c>
      <c r="DC705" t="s">
        <v>132</v>
      </c>
      <c r="DD705" t="s">
        <v>133</v>
      </c>
      <c r="DG705">
        <v>8360297</v>
      </c>
      <c r="DI705">
        <v>0</v>
      </c>
      <c r="DJ705">
        <v>0</v>
      </c>
      <c r="DK705">
        <v>1</v>
      </c>
      <c r="DL705">
        <v>0</v>
      </c>
      <c r="DM705">
        <v>0</v>
      </c>
      <c r="DN705">
        <v>0</v>
      </c>
      <c r="DO705">
        <v>0</v>
      </c>
      <c r="DP705">
        <v>1</v>
      </c>
      <c r="DQ705">
        <v>0</v>
      </c>
      <c r="DR705">
        <v>0</v>
      </c>
      <c r="DS705">
        <v>0</v>
      </c>
    </row>
    <row r="706" spans="1:123" x14ac:dyDescent="0.25">
      <c r="A706" t="str">
        <f>"11/29/2023 20:24:22.024"</f>
        <v>11/29/2023 20:24:22.024</v>
      </c>
      <c r="C706" t="str">
        <f t="shared" si="83"/>
        <v>FFDF53C0</v>
      </c>
      <c r="D706" t="s">
        <v>138</v>
      </c>
      <c r="E706">
        <v>3</v>
      </c>
      <c r="H706">
        <v>160</v>
      </c>
      <c r="I706" t="s">
        <v>124</v>
      </c>
      <c r="J706" t="s">
        <v>139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"20:24:21.750"</f>
        <v>20:24:21.750</v>
      </c>
      <c r="T706" t="str">
        <f>"20:24:21.650"</f>
        <v>20:24:21.650</v>
      </c>
      <c r="U706" t="str">
        <f t="shared" ref="U706:U769" si="84">"AA0632"</f>
        <v>AA0632</v>
      </c>
      <c r="V706">
        <v>0</v>
      </c>
      <c r="W706">
        <v>0</v>
      </c>
      <c r="X706">
        <v>2</v>
      </c>
      <c r="Y706">
        <v>0</v>
      </c>
      <c r="AA706">
        <v>0</v>
      </c>
      <c r="AB706">
        <v>9</v>
      </c>
      <c r="AC706">
        <v>3</v>
      </c>
      <c r="AD706">
        <v>0</v>
      </c>
      <c r="AE706">
        <v>10</v>
      </c>
      <c r="AF706" t="s">
        <v>126</v>
      </c>
      <c r="AG706">
        <v>0</v>
      </c>
      <c r="AH706">
        <v>0</v>
      </c>
      <c r="AI706">
        <v>2</v>
      </c>
      <c r="AJ706">
        <v>0</v>
      </c>
      <c r="AK706" t="s">
        <v>496</v>
      </c>
      <c r="AL706">
        <v>31.923608999999999</v>
      </c>
      <c r="AM706" t="s">
        <v>497</v>
      </c>
      <c r="AN706">
        <v>-101.036711</v>
      </c>
      <c r="AQ706" t="s">
        <v>129</v>
      </c>
      <c r="AR706">
        <v>85</v>
      </c>
      <c r="AS706">
        <v>-9</v>
      </c>
      <c r="AT706">
        <v>384</v>
      </c>
      <c r="BB706" t="str">
        <f t="shared" ref="BB706:BB769" si="85">"1200"</f>
        <v>1200</v>
      </c>
      <c r="BC706">
        <v>1</v>
      </c>
      <c r="BD706" t="str">
        <f t="shared" si="81"/>
        <v xml:space="preserve">N745MB  </v>
      </c>
      <c r="BE706">
        <v>1</v>
      </c>
      <c r="BG706">
        <v>0</v>
      </c>
      <c r="BH706">
        <v>0</v>
      </c>
      <c r="BI706">
        <v>0</v>
      </c>
      <c r="BL706" t="s">
        <v>130</v>
      </c>
      <c r="BM706">
        <v>1</v>
      </c>
      <c r="BN706">
        <v>0</v>
      </c>
      <c r="BO706">
        <v>0</v>
      </c>
      <c r="BP706">
        <v>0</v>
      </c>
      <c r="BT706">
        <v>0</v>
      </c>
      <c r="BU706">
        <v>0</v>
      </c>
      <c r="CE706" t="str">
        <f>"20:24:21.755"</f>
        <v>20:24:21.755</v>
      </c>
      <c r="CF706">
        <v>754798048</v>
      </c>
      <c r="CS706">
        <v>0</v>
      </c>
      <c r="CT706">
        <v>2</v>
      </c>
      <c r="CU706">
        <v>0</v>
      </c>
      <c r="CV706">
        <v>2</v>
      </c>
      <c r="CW706">
        <v>0</v>
      </c>
      <c r="CX706">
        <v>4</v>
      </c>
      <c r="CY706">
        <v>7</v>
      </c>
      <c r="CZ706" t="s">
        <v>131</v>
      </c>
      <c r="DA706">
        <v>116</v>
      </c>
      <c r="DB706">
        <v>0</v>
      </c>
      <c r="DC706" t="s">
        <v>132</v>
      </c>
      <c r="DD706" t="s">
        <v>133</v>
      </c>
      <c r="DG706">
        <v>14593875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1</v>
      </c>
      <c r="DQ706">
        <v>0</v>
      </c>
      <c r="DR706">
        <v>0</v>
      </c>
      <c r="DS706">
        <v>0</v>
      </c>
    </row>
    <row r="707" spans="1:123" x14ac:dyDescent="0.25">
      <c r="A707" t="str">
        <f>"11/29/2023 20:24:22.086"</f>
        <v>11/29/2023 20:24:22.086</v>
      </c>
      <c r="C707" t="str">
        <f t="shared" si="83"/>
        <v>FFDF53C0</v>
      </c>
      <c r="D707" t="s">
        <v>123</v>
      </c>
      <c r="E707">
        <v>14</v>
      </c>
      <c r="F707">
        <v>1014</v>
      </c>
      <c r="G707" t="s">
        <v>124</v>
      </c>
      <c r="J707" t="s">
        <v>125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"20:24:21.750"</f>
        <v>20:24:21.750</v>
      </c>
      <c r="T707" t="str">
        <f>"20:24:21.650"</f>
        <v>20:24:21.650</v>
      </c>
      <c r="U707" t="str">
        <f t="shared" si="84"/>
        <v>AA0632</v>
      </c>
      <c r="V707">
        <v>0</v>
      </c>
      <c r="W707">
        <v>0</v>
      </c>
      <c r="X707">
        <v>2</v>
      </c>
      <c r="Y707">
        <v>0</v>
      </c>
      <c r="AA707">
        <v>0</v>
      </c>
      <c r="AB707">
        <v>9</v>
      </c>
      <c r="AC707">
        <v>3</v>
      </c>
      <c r="AD707">
        <v>0</v>
      </c>
      <c r="AE707">
        <v>10</v>
      </c>
      <c r="AF707" t="s">
        <v>126</v>
      </c>
      <c r="AG707">
        <v>0</v>
      </c>
      <c r="AH707">
        <v>0</v>
      </c>
      <c r="AI707">
        <v>2</v>
      </c>
      <c r="AJ707">
        <v>0</v>
      </c>
      <c r="AK707" t="s">
        <v>496</v>
      </c>
      <c r="AL707">
        <v>31.923608999999999</v>
      </c>
      <c r="AM707" t="s">
        <v>497</v>
      </c>
      <c r="AN707">
        <v>-101.036711</v>
      </c>
      <c r="AQ707" t="s">
        <v>129</v>
      </c>
      <c r="AR707">
        <v>85</v>
      </c>
      <c r="AS707">
        <v>-9</v>
      </c>
      <c r="AT707">
        <v>384</v>
      </c>
      <c r="BB707" t="str">
        <f t="shared" si="85"/>
        <v>1200</v>
      </c>
      <c r="BC707">
        <v>1</v>
      </c>
      <c r="BD707" t="str">
        <f t="shared" si="81"/>
        <v xml:space="preserve">N745MB  </v>
      </c>
      <c r="BE707">
        <v>1</v>
      </c>
      <c r="BG707">
        <v>0</v>
      </c>
      <c r="BH707">
        <v>0</v>
      </c>
      <c r="BI707">
        <v>0</v>
      </c>
      <c r="BL707" t="s">
        <v>130</v>
      </c>
      <c r="BM707">
        <v>1</v>
      </c>
      <c r="BN707">
        <v>0</v>
      </c>
      <c r="BO707">
        <v>0</v>
      </c>
      <c r="BP707">
        <v>0</v>
      </c>
      <c r="BT707">
        <v>0</v>
      </c>
      <c r="BU707">
        <v>0</v>
      </c>
      <c r="CE707" t="str">
        <f>"20:24:21.755"</f>
        <v>20:24:21.755</v>
      </c>
      <c r="CF707">
        <v>754798048</v>
      </c>
      <c r="CS707">
        <v>0</v>
      </c>
      <c r="CT707">
        <v>2</v>
      </c>
      <c r="CU707">
        <v>0</v>
      </c>
      <c r="CV707">
        <v>2</v>
      </c>
      <c r="CW707">
        <v>0</v>
      </c>
      <c r="CX707">
        <v>4</v>
      </c>
      <c r="CY707">
        <v>7</v>
      </c>
      <c r="CZ707" t="s">
        <v>131</v>
      </c>
      <c r="DA707">
        <v>116</v>
      </c>
      <c r="DB707">
        <v>0</v>
      </c>
      <c r="DC707" t="s">
        <v>132</v>
      </c>
      <c r="DD707" t="s">
        <v>133</v>
      </c>
      <c r="DG707">
        <v>14593875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1</v>
      </c>
      <c r="DQ707">
        <v>0</v>
      </c>
      <c r="DR707">
        <v>0</v>
      </c>
      <c r="DS707">
        <v>0</v>
      </c>
    </row>
    <row r="708" spans="1:123" x14ac:dyDescent="0.25">
      <c r="A708" t="str">
        <f>"11/29/2023 20:24:22.086"</f>
        <v>11/29/2023 20:24:22.086</v>
      </c>
      <c r="C708" t="str">
        <f t="shared" si="83"/>
        <v>FFDF53C0</v>
      </c>
      <c r="D708" t="s">
        <v>123</v>
      </c>
      <c r="E708">
        <v>1</v>
      </c>
      <c r="F708">
        <v>1001</v>
      </c>
      <c r="G708" t="s">
        <v>134</v>
      </c>
      <c r="J708" t="s">
        <v>125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"20:24:21.750"</f>
        <v>20:24:21.750</v>
      </c>
      <c r="T708" t="str">
        <f>"20:24:21.650"</f>
        <v>20:24:21.650</v>
      </c>
      <c r="U708" t="str">
        <f t="shared" si="84"/>
        <v>AA0632</v>
      </c>
      <c r="V708">
        <v>0</v>
      </c>
      <c r="W708">
        <v>0</v>
      </c>
      <c r="X708">
        <v>2</v>
      </c>
      <c r="Y708">
        <v>0</v>
      </c>
      <c r="AA708">
        <v>0</v>
      </c>
      <c r="AB708">
        <v>9</v>
      </c>
      <c r="AC708">
        <v>3</v>
      </c>
      <c r="AD708">
        <v>0</v>
      </c>
      <c r="AE708">
        <v>10</v>
      </c>
      <c r="AF708" t="s">
        <v>126</v>
      </c>
      <c r="AG708">
        <v>0</v>
      </c>
      <c r="AH708">
        <v>0</v>
      </c>
      <c r="AI708">
        <v>2</v>
      </c>
      <c r="AJ708">
        <v>0</v>
      </c>
      <c r="AK708" t="s">
        <v>496</v>
      </c>
      <c r="AL708">
        <v>31.923608999999999</v>
      </c>
      <c r="AM708" t="s">
        <v>497</v>
      </c>
      <c r="AN708">
        <v>-101.036711</v>
      </c>
      <c r="AQ708" t="s">
        <v>129</v>
      </c>
      <c r="AR708">
        <v>85</v>
      </c>
      <c r="AS708">
        <v>-9</v>
      </c>
      <c r="AT708">
        <v>384</v>
      </c>
      <c r="BB708" t="str">
        <f t="shared" si="85"/>
        <v>1200</v>
      </c>
      <c r="BC708">
        <v>1</v>
      </c>
      <c r="BD708" t="str">
        <f t="shared" si="81"/>
        <v xml:space="preserve">N745MB  </v>
      </c>
      <c r="BE708">
        <v>1</v>
      </c>
      <c r="BG708">
        <v>0</v>
      </c>
      <c r="BH708">
        <v>0</v>
      </c>
      <c r="BI708">
        <v>0</v>
      </c>
      <c r="BL708" t="s">
        <v>130</v>
      </c>
      <c r="BM708">
        <v>1</v>
      </c>
      <c r="BN708">
        <v>0</v>
      </c>
      <c r="BO708">
        <v>0</v>
      </c>
      <c r="BP708">
        <v>0</v>
      </c>
      <c r="BT708">
        <v>0</v>
      </c>
      <c r="BU708">
        <v>0</v>
      </c>
      <c r="CE708" t="str">
        <f>"20:24:21.755"</f>
        <v>20:24:21.755</v>
      </c>
      <c r="CF708">
        <v>754798048</v>
      </c>
      <c r="CS708">
        <v>0</v>
      </c>
      <c r="CT708">
        <v>2</v>
      </c>
      <c r="CU708">
        <v>0</v>
      </c>
      <c r="CV708">
        <v>2</v>
      </c>
      <c r="CW708">
        <v>0</v>
      </c>
      <c r="CX708">
        <v>4</v>
      </c>
      <c r="CY708">
        <v>7</v>
      </c>
      <c r="CZ708" t="s">
        <v>131</v>
      </c>
      <c r="DA708">
        <v>116</v>
      </c>
      <c r="DB708">
        <v>0</v>
      </c>
      <c r="DC708" t="s">
        <v>132</v>
      </c>
      <c r="DD708" t="s">
        <v>133</v>
      </c>
      <c r="DG708">
        <v>14593875</v>
      </c>
      <c r="DI708">
        <v>0</v>
      </c>
      <c r="DJ708">
        <v>0</v>
      </c>
      <c r="DK708">
        <v>1</v>
      </c>
      <c r="DL708">
        <v>0</v>
      </c>
      <c r="DM708">
        <v>0</v>
      </c>
      <c r="DN708">
        <v>0</v>
      </c>
      <c r="DO708">
        <v>0</v>
      </c>
      <c r="DP708">
        <v>1</v>
      </c>
      <c r="DQ708">
        <v>0</v>
      </c>
      <c r="DR708">
        <v>0</v>
      </c>
      <c r="DS708">
        <v>0</v>
      </c>
    </row>
    <row r="709" spans="1:123" x14ac:dyDescent="0.25">
      <c r="A709" t="str">
        <f>"11/29/2023 20:24:22.086"</f>
        <v>11/29/2023 20:24:22.086</v>
      </c>
      <c r="C709" t="str">
        <f t="shared" si="83"/>
        <v>FFDF53C0</v>
      </c>
      <c r="D709" t="s">
        <v>135</v>
      </c>
      <c r="E709">
        <v>31</v>
      </c>
      <c r="H709">
        <v>285</v>
      </c>
      <c r="I709" t="s">
        <v>136</v>
      </c>
      <c r="J709" t="s">
        <v>137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"20:24:21.750"</f>
        <v>20:24:21.750</v>
      </c>
      <c r="T709" t="str">
        <f>"20:24:21.650"</f>
        <v>20:24:21.650</v>
      </c>
      <c r="U709" t="str">
        <f t="shared" si="84"/>
        <v>AA0632</v>
      </c>
      <c r="V709">
        <v>0</v>
      </c>
      <c r="W709">
        <v>0</v>
      </c>
      <c r="X709">
        <v>2</v>
      </c>
      <c r="Y709">
        <v>0</v>
      </c>
      <c r="AA709">
        <v>0</v>
      </c>
      <c r="AB709">
        <v>9</v>
      </c>
      <c r="AC709">
        <v>3</v>
      </c>
      <c r="AD709">
        <v>0</v>
      </c>
      <c r="AE709">
        <v>10</v>
      </c>
      <c r="AF709" t="s">
        <v>126</v>
      </c>
      <c r="AG709">
        <v>0</v>
      </c>
      <c r="AH709">
        <v>0</v>
      </c>
      <c r="AI709">
        <v>2</v>
      </c>
      <c r="AJ709">
        <v>0</v>
      </c>
      <c r="AK709" t="s">
        <v>496</v>
      </c>
      <c r="AL709">
        <v>31.923608999999999</v>
      </c>
      <c r="AM709" t="s">
        <v>497</v>
      </c>
      <c r="AN709">
        <v>-101.036711</v>
      </c>
      <c r="AQ709" t="s">
        <v>129</v>
      </c>
      <c r="AR709">
        <v>85</v>
      </c>
      <c r="AS709">
        <v>-9</v>
      </c>
      <c r="AT709">
        <v>384</v>
      </c>
      <c r="BB709" t="str">
        <f t="shared" si="85"/>
        <v>1200</v>
      </c>
      <c r="BC709">
        <v>1</v>
      </c>
      <c r="BD709" t="str">
        <f t="shared" si="81"/>
        <v xml:space="preserve">N745MB  </v>
      </c>
      <c r="BE709">
        <v>1</v>
      </c>
      <c r="BG709">
        <v>0</v>
      </c>
      <c r="BH709">
        <v>0</v>
      </c>
      <c r="BI709">
        <v>0</v>
      </c>
      <c r="BL709" t="s">
        <v>130</v>
      </c>
      <c r="BM709">
        <v>1</v>
      </c>
      <c r="BN709">
        <v>0</v>
      </c>
      <c r="BO709">
        <v>0</v>
      </c>
      <c r="BP709">
        <v>0</v>
      </c>
      <c r="BT709">
        <v>0</v>
      </c>
      <c r="BU709">
        <v>0</v>
      </c>
      <c r="CE709" t="str">
        <f>"20:24:21.755"</f>
        <v>20:24:21.755</v>
      </c>
      <c r="CF709">
        <v>754798048</v>
      </c>
      <c r="CS709">
        <v>0</v>
      </c>
      <c r="CT709">
        <v>2</v>
      </c>
      <c r="CU709">
        <v>0</v>
      </c>
      <c r="CV709">
        <v>2</v>
      </c>
      <c r="CW709">
        <v>0</v>
      </c>
      <c r="CX709">
        <v>4</v>
      </c>
      <c r="CY709">
        <v>7</v>
      </c>
      <c r="CZ709" t="s">
        <v>131</v>
      </c>
      <c r="DA709">
        <v>116</v>
      </c>
      <c r="DB709">
        <v>0</v>
      </c>
      <c r="DC709" t="s">
        <v>132</v>
      </c>
      <c r="DD709" t="s">
        <v>133</v>
      </c>
      <c r="DG709">
        <v>14593875</v>
      </c>
      <c r="DI709">
        <v>0</v>
      </c>
      <c r="DJ709">
        <v>0</v>
      </c>
      <c r="DK709">
        <v>1</v>
      </c>
      <c r="DL709">
        <v>0</v>
      </c>
      <c r="DM709">
        <v>0</v>
      </c>
      <c r="DN709">
        <v>0</v>
      </c>
      <c r="DO709">
        <v>0</v>
      </c>
      <c r="DP709">
        <v>1</v>
      </c>
      <c r="DQ709">
        <v>0</v>
      </c>
      <c r="DR709">
        <v>0</v>
      </c>
      <c r="DS709">
        <v>0</v>
      </c>
    </row>
    <row r="710" spans="1:123" x14ac:dyDescent="0.25">
      <c r="A710" t="str">
        <f>"11/29/2023 20:24:23.508"</f>
        <v>11/29/2023 20:24:23.508</v>
      </c>
      <c r="C710" t="str">
        <f t="shared" si="83"/>
        <v>FFDF53C0</v>
      </c>
      <c r="D710" t="s">
        <v>123</v>
      </c>
      <c r="E710">
        <v>14</v>
      </c>
      <c r="F710">
        <v>1014</v>
      </c>
      <c r="G710" t="s">
        <v>124</v>
      </c>
      <c r="J710" t="s">
        <v>125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"20:24:23.258"</f>
        <v>20:24:23.258</v>
      </c>
      <c r="T710" t="str">
        <f>"20:24:23.158"</f>
        <v>20:24:23.158</v>
      </c>
      <c r="U710" t="str">
        <f t="shared" si="84"/>
        <v>AA0632</v>
      </c>
      <c r="V710">
        <v>0</v>
      </c>
      <c r="W710">
        <v>0</v>
      </c>
      <c r="X710">
        <v>2</v>
      </c>
      <c r="Y710">
        <v>0</v>
      </c>
      <c r="AA710">
        <v>0</v>
      </c>
      <c r="AB710">
        <v>9</v>
      </c>
      <c r="AC710">
        <v>3</v>
      </c>
      <c r="AD710">
        <v>0</v>
      </c>
      <c r="AE710">
        <v>10</v>
      </c>
      <c r="AF710" t="s">
        <v>126</v>
      </c>
      <c r="AG710">
        <v>0</v>
      </c>
      <c r="AH710">
        <v>0</v>
      </c>
      <c r="AI710">
        <v>2</v>
      </c>
      <c r="AJ710">
        <v>0</v>
      </c>
      <c r="AK710" t="s">
        <v>498</v>
      </c>
      <c r="AL710">
        <v>31.923566000000001</v>
      </c>
      <c r="AM710" t="s">
        <v>499</v>
      </c>
      <c r="AN710">
        <v>-101.036046</v>
      </c>
      <c r="AQ710" t="s">
        <v>129</v>
      </c>
      <c r="AR710">
        <v>84</v>
      </c>
      <c r="AS710">
        <v>-8</v>
      </c>
      <c r="AT710">
        <v>576</v>
      </c>
      <c r="BB710" t="str">
        <f t="shared" si="85"/>
        <v>1200</v>
      </c>
      <c r="BC710">
        <v>1</v>
      </c>
      <c r="BD710" t="str">
        <f t="shared" si="81"/>
        <v xml:space="preserve">N745MB  </v>
      </c>
      <c r="BE710">
        <v>1</v>
      </c>
      <c r="BG710">
        <v>0</v>
      </c>
      <c r="BH710">
        <v>0</v>
      </c>
      <c r="BI710">
        <v>0</v>
      </c>
      <c r="BL710" t="s">
        <v>130</v>
      </c>
      <c r="BM710">
        <v>1</v>
      </c>
      <c r="BN710">
        <v>0</v>
      </c>
      <c r="BO710">
        <v>0</v>
      </c>
      <c r="BP710">
        <v>0</v>
      </c>
      <c r="BT710">
        <v>0</v>
      </c>
      <c r="BU710">
        <v>0</v>
      </c>
      <c r="CE710" t="str">
        <f>"20:24:23.259"</f>
        <v>20:24:23.259</v>
      </c>
      <c r="CF710">
        <v>258696704</v>
      </c>
      <c r="CS710">
        <v>0</v>
      </c>
      <c r="CT710">
        <v>2</v>
      </c>
      <c r="CU710">
        <v>0</v>
      </c>
      <c r="CV710">
        <v>2</v>
      </c>
      <c r="CW710">
        <v>0</v>
      </c>
      <c r="CX710">
        <v>5</v>
      </c>
      <c r="CY710">
        <v>7</v>
      </c>
      <c r="CZ710" t="s">
        <v>131</v>
      </c>
      <c r="DA710">
        <v>116</v>
      </c>
      <c r="DB710">
        <v>3</v>
      </c>
      <c r="DC710" t="s">
        <v>132</v>
      </c>
      <c r="DD710" t="s">
        <v>133</v>
      </c>
      <c r="DG710">
        <v>8361849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1</v>
      </c>
      <c r="DQ710">
        <v>0</v>
      </c>
      <c r="DR710">
        <v>0</v>
      </c>
      <c r="DS710">
        <v>0</v>
      </c>
    </row>
    <row r="711" spans="1:123" x14ac:dyDescent="0.25">
      <c r="A711" t="str">
        <f>"11/29/2023 20:24:23.508"</f>
        <v>11/29/2023 20:24:23.508</v>
      </c>
      <c r="C711" t="str">
        <f t="shared" si="83"/>
        <v>FFDF53C0</v>
      </c>
      <c r="D711" t="s">
        <v>123</v>
      </c>
      <c r="E711">
        <v>1</v>
      </c>
      <c r="F711">
        <v>1001</v>
      </c>
      <c r="G711" t="s">
        <v>134</v>
      </c>
      <c r="J711" t="s">
        <v>125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"20:24:23.258"</f>
        <v>20:24:23.258</v>
      </c>
      <c r="T711" t="str">
        <f>"20:24:23.158"</f>
        <v>20:24:23.158</v>
      </c>
      <c r="U711" t="str">
        <f t="shared" si="84"/>
        <v>AA0632</v>
      </c>
      <c r="V711">
        <v>0</v>
      </c>
      <c r="W711">
        <v>0</v>
      </c>
      <c r="X711">
        <v>2</v>
      </c>
      <c r="Y711">
        <v>0</v>
      </c>
      <c r="AA711">
        <v>0</v>
      </c>
      <c r="AB711">
        <v>9</v>
      </c>
      <c r="AC711">
        <v>3</v>
      </c>
      <c r="AD711">
        <v>0</v>
      </c>
      <c r="AE711">
        <v>10</v>
      </c>
      <c r="AF711" t="s">
        <v>126</v>
      </c>
      <c r="AG711">
        <v>0</v>
      </c>
      <c r="AH711">
        <v>0</v>
      </c>
      <c r="AI711">
        <v>2</v>
      </c>
      <c r="AJ711">
        <v>0</v>
      </c>
      <c r="AK711" t="s">
        <v>498</v>
      </c>
      <c r="AL711">
        <v>31.923566000000001</v>
      </c>
      <c r="AM711" t="s">
        <v>499</v>
      </c>
      <c r="AN711">
        <v>-101.036046</v>
      </c>
      <c r="AQ711" t="s">
        <v>129</v>
      </c>
      <c r="AR711">
        <v>84</v>
      </c>
      <c r="AS711">
        <v>-8</v>
      </c>
      <c r="AT711">
        <v>576</v>
      </c>
      <c r="BB711" t="str">
        <f t="shared" si="85"/>
        <v>1200</v>
      </c>
      <c r="BC711">
        <v>1</v>
      </c>
      <c r="BD711" t="str">
        <f t="shared" si="81"/>
        <v xml:space="preserve">N745MB  </v>
      </c>
      <c r="BE711">
        <v>1</v>
      </c>
      <c r="BG711">
        <v>0</v>
      </c>
      <c r="BH711">
        <v>0</v>
      </c>
      <c r="BI711">
        <v>0</v>
      </c>
      <c r="BL711" t="s">
        <v>130</v>
      </c>
      <c r="BM711">
        <v>1</v>
      </c>
      <c r="BN711">
        <v>0</v>
      </c>
      <c r="BO711">
        <v>0</v>
      </c>
      <c r="BP711">
        <v>0</v>
      </c>
      <c r="BT711">
        <v>0</v>
      </c>
      <c r="BU711">
        <v>0</v>
      </c>
      <c r="CE711" t="str">
        <f>"20:24:23.259"</f>
        <v>20:24:23.259</v>
      </c>
      <c r="CF711">
        <v>258696704</v>
      </c>
      <c r="CS711">
        <v>0</v>
      </c>
      <c r="CT711">
        <v>2</v>
      </c>
      <c r="CU711">
        <v>0</v>
      </c>
      <c r="CV711">
        <v>2</v>
      </c>
      <c r="CW711">
        <v>0</v>
      </c>
      <c r="CX711">
        <v>5</v>
      </c>
      <c r="CY711">
        <v>7</v>
      </c>
      <c r="CZ711" t="s">
        <v>131</v>
      </c>
      <c r="DA711">
        <v>116</v>
      </c>
      <c r="DB711">
        <v>3</v>
      </c>
      <c r="DC711" t="s">
        <v>132</v>
      </c>
      <c r="DD711" t="s">
        <v>133</v>
      </c>
      <c r="DG711">
        <v>8361849</v>
      </c>
      <c r="DI711">
        <v>0</v>
      </c>
      <c r="DJ711">
        <v>0</v>
      </c>
      <c r="DK711">
        <v>1</v>
      </c>
      <c r="DL711">
        <v>0</v>
      </c>
      <c r="DM711">
        <v>0</v>
      </c>
      <c r="DN711">
        <v>0</v>
      </c>
      <c r="DO711">
        <v>0</v>
      </c>
      <c r="DP711">
        <v>1</v>
      </c>
      <c r="DQ711">
        <v>0</v>
      </c>
      <c r="DR711">
        <v>0</v>
      </c>
      <c r="DS711">
        <v>0</v>
      </c>
    </row>
    <row r="712" spans="1:123" x14ac:dyDescent="0.25">
      <c r="A712" t="str">
        <f>"11/29/2023 20:24:23.696"</f>
        <v>11/29/2023 20:24:23.696</v>
      </c>
      <c r="C712" t="str">
        <f t="shared" si="83"/>
        <v>FFDF53C0</v>
      </c>
      <c r="D712" t="s">
        <v>135</v>
      </c>
      <c r="E712">
        <v>31</v>
      </c>
      <c r="H712">
        <v>285</v>
      </c>
      <c r="I712" t="s">
        <v>136</v>
      </c>
      <c r="J712" t="s">
        <v>137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"20:24:23.258"</f>
        <v>20:24:23.258</v>
      </c>
      <c r="T712" t="str">
        <f>"20:24:23.158"</f>
        <v>20:24:23.158</v>
      </c>
      <c r="U712" t="str">
        <f t="shared" si="84"/>
        <v>AA0632</v>
      </c>
      <c r="V712">
        <v>0</v>
      </c>
      <c r="W712">
        <v>0</v>
      </c>
      <c r="X712">
        <v>2</v>
      </c>
      <c r="Y712">
        <v>0</v>
      </c>
      <c r="AA712">
        <v>0</v>
      </c>
      <c r="AB712">
        <v>9</v>
      </c>
      <c r="AC712">
        <v>3</v>
      </c>
      <c r="AD712">
        <v>0</v>
      </c>
      <c r="AE712">
        <v>10</v>
      </c>
      <c r="AF712" t="s">
        <v>126</v>
      </c>
      <c r="AG712">
        <v>0</v>
      </c>
      <c r="AH712">
        <v>0</v>
      </c>
      <c r="AI712">
        <v>2</v>
      </c>
      <c r="AJ712">
        <v>0</v>
      </c>
      <c r="AK712" t="s">
        <v>498</v>
      </c>
      <c r="AL712">
        <v>31.923566000000001</v>
      </c>
      <c r="AM712" t="s">
        <v>499</v>
      </c>
      <c r="AN712">
        <v>-101.036046</v>
      </c>
      <c r="AQ712" t="s">
        <v>129</v>
      </c>
      <c r="AR712">
        <v>84</v>
      </c>
      <c r="AS712">
        <v>-8</v>
      </c>
      <c r="AT712">
        <v>576</v>
      </c>
      <c r="BB712" t="str">
        <f t="shared" si="85"/>
        <v>1200</v>
      </c>
      <c r="BC712">
        <v>1</v>
      </c>
      <c r="BD712" t="str">
        <f t="shared" si="81"/>
        <v xml:space="preserve">N745MB  </v>
      </c>
      <c r="BE712">
        <v>1</v>
      </c>
      <c r="BG712">
        <v>0</v>
      </c>
      <c r="BH712">
        <v>0</v>
      </c>
      <c r="BI712">
        <v>0</v>
      </c>
      <c r="BL712" t="s">
        <v>130</v>
      </c>
      <c r="BM712">
        <v>1</v>
      </c>
      <c r="BN712">
        <v>0</v>
      </c>
      <c r="BO712">
        <v>0</v>
      </c>
      <c r="BP712">
        <v>0</v>
      </c>
      <c r="BT712">
        <v>0</v>
      </c>
      <c r="BU712">
        <v>0</v>
      </c>
      <c r="CE712" t="str">
        <f>"20:24:23.259"</f>
        <v>20:24:23.259</v>
      </c>
      <c r="CF712">
        <v>258696704</v>
      </c>
      <c r="CS712">
        <v>0</v>
      </c>
      <c r="CT712">
        <v>2</v>
      </c>
      <c r="CU712">
        <v>0</v>
      </c>
      <c r="CV712">
        <v>2</v>
      </c>
      <c r="CW712">
        <v>0</v>
      </c>
      <c r="CX712">
        <v>5</v>
      </c>
      <c r="CY712">
        <v>7</v>
      </c>
      <c r="CZ712" t="s">
        <v>131</v>
      </c>
      <c r="DA712">
        <v>116</v>
      </c>
      <c r="DB712">
        <v>3</v>
      </c>
      <c r="DC712" t="s">
        <v>132</v>
      </c>
      <c r="DD712" t="s">
        <v>133</v>
      </c>
      <c r="DG712">
        <v>8361849</v>
      </c>
      <c r="DI712">
        <v>0</v>
      </c>
      <c r="DJ712">
        <v>0</v>
      </c>
      <c r="DK712">
        <v>1</v>
      </c>
      <c r="DL712">
        <v>0</v>
      </c>
      <c r="DM712">
        <v>0</v>
      </c>
      <c r="DN712">
        <v>0</v>
      </c>
      <c r="DO712">
        <v>0</v>
      </c>
      <c r="DP712">
        <v>1</v>
      </c>
      <c r="DQ712">
        <v>0</v>
      </c>
      <c r="DR712">
        <v>0</v>
      </c>
      <c r="DS712">
        <v>0</v>
      </c>
    </row>
    <row r="713" spans="1:123" x14ac:dyDescent="0.25">
      <c r="A713" t="str">
        <f>"11/29/2023 20:24:23.696"</f>
        <v>11/29/2023 20:24:23.696</v>
      </c>
      <c r="C713" t="str">
        <f t="shared" si="83"/>
        <v>FFDF53C0</v>
      </c>
      <c r="D713" t="s">
        <v>138</v>
      </c>
      <c r="E713">
        <v>3</v>
      </c>
      <c r="H713">
        <v>160</v>
      </c>
      <c r="I713" t="s">
        <v>124</v>
      </c>
      <c r="J713" t="s">
        <v>139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"20:24:23.258"</f>
        <v>20:24:23.258</v>
      </c>
      <c r="T713" t="str">
        <f>"20:24:23.158"</f>
        <v>20:24:23.158</v>
      </c>
      <c r="U713" t="str">
        <f t="shared" si="84"/>
        <v>AA0632</v>
      </c>
      <c r="V713">
        <v>0</v>
      </c>
      <c r="W713">
        <v>0</v>
      </c>
      <c r="X713">
        <v>2</v>
      </c>
      <c r="Y713">
        <v>0</v>
      </c>
      <c r="AA713">
        <v>0</v>
      </c>
      <c r="AB713">
        <v>9</v>
      </c>
      <c r="AC713">
        <v>3</v>
      </c>
      <c r="AD713">
        <v>0</v>
      </c>
      <c r="AE713">
        <v>10</v>
      </c>
      <c r="AF713" t="s">
        <v>126</v>
      </c>
      <c r="AG713">
        <v>0</v>
      </c>
      <c r="AH713">
        <v>0</v>
      </c>
      <c r="AI713">
        <v>2</v>
      </c>
      <c r="AJ713">
        <v>0</v>
      </c>
      <c r="AK713" t="s">
        <v>498</v>
      </c>
      <c r="AL713">
        <v>31.923566000000001</v>
      </c>
      <c r="AM713" t="s">
        <v>499</v>
      </c>
      <c r="AN713">
        <v>-101.036046</v>
      </c>
      <c r="AQ713" t="s">
        <v>129</v>
      </c>
      <c r="AR713">
        <v>84</v>
      </c>
      <c r="AS713">
        <v>-8</v>
      </c>
      <c r="AT713">
        <v>576</v>
      </c>
      <c r="BB713" t="str">
        <f t="shared" si="85"/>
        <v>1200</v>
      </c>
      <c r="BC713">
        <v>1</v>
      </c>
      <c r="BD713" t="str">
        <f t="shared" si="81"/>
        <v xml:space="preserve">N745MB  </v>
      </c>
      <c r="BE713">
        <v>1</v>
      </c>
      <c r="BG713">
        <v>0</v>
      </c>
      <c r="BH713">
        <v>0</v>
      </c>
      <c r="BI713">
        <v>0</v>
      </c>
      <c r="BL713" t="s">
        <v>130</v>
      </c>
      <c r="BM713">
        <v>1</v>
      </c>
      <c r="BN713">
        <v>0</v>
      </c>
      <c r="BO713">
        <v>0</v>
      </c>
      <c r="BP713">
        <v>0</v>
      </c>
      <c r="BT713">
        <v>0</v>
      </c>
      <c r="BU713">
        <v>0</v>
      </c>
      <c r="CE713" t="str">
        <f>"20:24:23.259"</f>
        <v>20:24:23.259</v>
      </c>
      <c r="CF713">
        <v>258696704</v>
      </c>
      <c r="CS713">
        <v>0</v>
      </c>
      <c r="CT713">
        <v>2</v>
      </c>
      <c r="CU713">
        <v>0</v>
      </c>
      <c r="CV713">
        <v>2</v>
      </c>
      <c r="CW713">
        <v>0</v>
      </c>
      <c r="CX713">
        <v>5</v>
      </c>
      <c r="CY713">
        <v>7</v>
      </c>
      <c r="CZ713" t="s">
        <v>131</v>
      </c>
      <c r="DA713">
        <v>116</v>
      </c>
      <c r="DB713">
        <v>3</v>
      </c>
      <c r="DC713" t="s">
        <v>132</v>
      </c>
      <c r="DD713" t="s">
        <v>133</v>
      </c>
      <c r="DG713">
        <v>8361849</v>
      </c>
      <c r="DI713">
        <v>0</v>
      </c>
      <c r="DJ713">
        <v>0</v>
      </c>
      <c r="DK713">
        <v>1</v>
      </c>
      <c r="DL713">
        <v>0</v>
      </c>
      <c r="DM713">
        <v>0</v>
      </c>
      <c r="DN713">
        <v>0</v>
      </c>
      <c r="DO713">
        <v>0</v>
      </c>
      <c r="DP713">
        <v>1</v>
      </c>
      <c r="DQ713">
        <v>0</v>
      </c>
      <c r="DR713">
        <v>0</v>
      </c>
      <c r="DS713">
        <v>0</v>
      </c>
    </row>
    <row r="714" spans="1:123" x14ac:dyDescent="0.25">
      <c r="A714" t="str">
        <f>"11/29/2023 20:24:25.211"</f>
        <v>11/29/2023 20:24:25.211</v>
      </c>
      <c r="C714" t="str">
        <f t="shared" si="83"/>
        <v>FFDF53C0</v>
      </c>
      <c r="D714" t="s">
        <v>138</v>
      </c>
      <c r="E714">
        <v>3</v>
      </c>
      <c r="H714">
        <v>160</v>
      </c>
      <c r="I714" t="s">
        <v>124</v>
      </c>
      <c r="J714" t="s">
        <v>139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"20:24:24.859"</f>
        <v>20:24:24.859</v>
      </c>
      <c r="T714" t="str">
        <f>"20:24:24.559"</f>
        <v>20:24:24.559</v>
      </c>
      <c r="U714" t="str">
        <f t="shared" si="84"/>
        <v>AA0632</v>
      </c>
      <c r="V714">
        <v>0</v>
      </c>
      <c r="W714">
        <v>0</v>
      </c>
      <c r="X714">
        <v>2</v>
      </c>
      <c r="Y714">
        <v>0</v>
      </c>
      <c r="AA714">
        <v>0</v>
      </c>
      <c r="AB714">
        <v>9</v>
      </c>
      <c r="AC714">
        <v>3</v>
      </c>
      <c r="AD714">
        <v>0</v>
      </c>
      <c r="AE714">
        <v>10</v>
      </c>
      <c r="AF714" t="s">
        <v>126</v>
      </c>
      <c r="AG714">
        <v>0</v>
      </c>
      <c r="AH714">
        <v>0</v>
      </c>
      <c r="AI714">
        <v>2</v>
      </c>
      <c r="AJ714">
        <v>0</v>
      </c>
      <c r="AK714" t="s">
        <v>500</v>
      </c>
      <c r="AL714">
        <v>31.923480000000001</v>
      </c>
      <c r="AM714" t="s">
        <v>501</v>
      </c>
      <c r="AN714">
        <v>-101.035337</v>
      </c>
      <c r="AQ714" t="s">
        <v>129</v>
      </c>
      <c r="AR714">
        <v>83</v>
      </c>
      <c r="AS714">
        <v>-7</v>
      </c>
      <c r="AT714">
        <v>640</v>
      </c>
      <c r="BB714" t="str">
        <f t="shared" si="85"/>
        <v>1200</v>
      </c>
      <c r="BC714">
        <v>1</v>
      </c>
      <c r="BD714" t="str">
        <f t="shared" si="81"/>
        <v xml:space="preserve">N745MB  </v>
      </c>
      <c r="BE714">
        <v>1</v>
      </c>
      <c r="BG714">
        <v>0</v>
      </c>
      <c r="BH714">
        <v>0</v>
      </c>
      <c r="BI714">
        <v>0</v>
      </c>
      <c r="BL714" t="s">
        <v>130</v>
      </c>
      <c r="BM714">
        <v>1</v>
      </c>
      <c r="BN714">
        <v>0</v>
      </c>
      <c r="BO714">
        <v>0</v>
      </c>
      <c r="BP714">
        <v>0</v>
      </c>
      <c r="BT714">
        <v>0</v>
      </c>
      <c r="BU714">
        <v>0</v>
      </c>
      <c r="CE714" t="str">
        <f>"20:24:24.867"</f>
        <v>20:24:24.867</v>
      </c>
      <c r="CF714">
        <v>866591064</v>
      </c>
      <c r="CS714">
        <v>0</v>
      </c>
      <c r="CT714">
        <v>2</v>
      </c>
      <c r="CU714">
        <v>0</v>
      </c>
      <c r="CV714">
        <v>2</v>
      </c>
      <c r="CW714">
        <v>0</v>
      </c>
      <c r="CX714">
        <v>5</v>
      </c>
      <c r="CY714">
        <v>7</v>
      </c>
      <c r="CZ714" t="s">
        <v>131</v>
      </c>
      <c r="DA714">
        <v>116</v>
      </c>
      <c r="DB714">
        <v>3</v>
      </c>
      <c r="DC714" t="s">
        <v>132</v>
      </c>
      <c r="DD714" t="s">
        <v>133</v>
      </c>
      <c r="DG714">
        <v>8362756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1</v>
      </c>
      <c r="DQ714">
        <v>0</v>
      </c>
      <c r="DR714">
        <v>0</v>
      </c>
      <c r="DS714">
        <v>0</v>
      </c>
    </row>
    <row r="715" spans="1:123" x14ac:dyDescent="0.25">
      <c r="A715" t="str">
        <f>"11/29/2023 20:24:25.227"</f>
        <v>11/29/2023 20:24:25.227</v>
      </c>
      <c r="C715" t="str">
        <f t="shared" si="83"/>
        <v>FFDF53C0</v>
      </c>
      <c r="D715" t="s">
        <v>135</v>
      </c>
      <c r="E715">
        <v>31</v>
      </c>
      <c r="H715">
        <v>285</v>
      </c>
      <c r="I715" t="s">
        <v>136</v>
      </c>
      <c r="J715" t="s">
        <v>137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"20:24:24.859"</f>
        <v>20:24:24.859</v>
      </c>
      <c r="T715" t="str">
        <f>"20:24:24.559"</f>
        <v>20:24:24.559</v>
      </c>
      <c r="U715" t="str">
        <f t="shared" si="84"/>
        <v>AA0632</v>
      </c>
      <c r="V715">
        <v>0</v>
      </c>
      <c r="W715">
        <v>0</v>
      </c>
      <c r="X715">
        <v>2</v>
      </c>
      <c r="Y715">
        <v>0</v>
      </c>
      <c r="AA715">
        <v>0</v>
      </c>
      <c r="AB715">
        <v>9</v>
      </c>
      <c r="AC715">
        <v>3</v>
      </c>
      <c r="AD715">
        <v>0</v>
      </c>
      <c r="AE715">
        <v>10</v>
      </c>
      <c r="AF715" t="s">
        <v>126</v>
      </c>
      <c r="AG715">
        <v>0</v>
      </c>
      <c r="AH715">
        <v>0</v>
      </c>
      <c r="AI715">
        <v>2</v>
      </c>
      <c r="AJ715">
        <v>0</v>
      </c>
      <c r="AK715" t="s">
        <v>500</v>
      </c>
      <c r="AL715">
        <v>31.923480000000001</v>
      </c>
      <c r="AM715" t="s">
        <v>501</v>
      </c>
      <c r="AN715">
        <v>-101.035337</v>
      </c>
      <c r="AQ715" t="s">
        <v>129</v>
      </c>
      <c r="AR715">
        <v>83</v>
      </c>
      <c r="AS715">
        <v>-7</v>
      </c>
      <c r="AT715">
        <v>640</v>
      </c>
      <c r="BB715" t="str">
        <f t="shared" si="85"/>
        <v>1200</v>
      </c>
      <c r="BC715">
        <v>1</v>
      </c>
      <c r="BD715" t="str">
        <f t="shared" si="81"/>
        <v xml:space="preserve">N745MB  </v>
      </c>
      <c r="BE715">
        <v>1</v>
      </c>
      <c r="BG715">
        <v>0</v>
      </c>
      <c r="BH715">
        <v>0</v>
      </c>
      <c r="BI715">
        <v>0</v>
      </c>
      <c r="BL715" t="s">
        <v>130</v>
      </c>
      <c r="BM715">
        <v>1</v>
      </c>
      <c r="BN715">
        <v>0</v>
      </c>
      <c r="BO715">
        <v>0</v>
      </c>
      <c r="BP715">
        <v>0</v>
      </c>
      <c r="BT715">
        <v>0</v>
      </c>
      <c r="BU715">
        <v>0</v>
      </c>
      <c r="CE715" t="str">
        <f>"20:24:24.867"</f>
        <v>20:24:24.867</v>
      </c>
      <c r="CF715">
        <v>866591064</v>
      </c>
      <c r="CS715">
        <v>0</v>
      </c>
      <c r="CT715">
        <v>2</v>
      </c>
      <c r="CU715">
        <v>0</v>
      </c>
      <c r="CV715">
        <v>2</v>
      </c>
      <c r="CW715">
        <v>0</v>
      </c>
      <c r="CX715">
        <v>5</v>
      </c>
      <c r="CY715">
        <v>7</v>
      </c>
      <c r="CZ715" t="s">
        <v>131</v>
      </c>
      <c r="DA715">
        <v>116</v>
      </c>
      <c r="DB715">
        <v>3</v>
      </c>
      <c r="DC715" t="s">
        <v>132</v>
      </c>
      <c r="DD715" t="s">
        <v>133</v>
      </c>
      <c r="DG715">
        <v>8362756</v>
      </c>
      <c r="DI715">
        <v>0</v>
      </c>
      <c r="DJ715">
        <v>0</v>
      </c>
      <c r="DK715">
        <v>1</v>
      </c>
      <c r="DL715">
        <v>0</v>
      </c>
      <c r="DM715">
        <v>0</v>
      </c>
      <c r="DN715">
        <v>0</v>
      </c>
      <c r="DO715">
        <v>0</v>
      </c>
      <c r="DP715">
        <v>1</v>
      </c>
      <c r="DQ715">
        <v>0</v>
      </c>
      <c r="DR715">
        <v>0</v>
      </c>
      <c r="DS715">
        <v>0</v>
      </c>
    </row>
    <row r="716" spans="1:123" x14ac:dyDescent="0.25">
      <c r="A716" t="str">
        <f>"11/29/2023 20:24:26.852"</f>
        <v>11/29/2023 20:24:26.852</v>
      </c>
      <c r="C716" t="str">
        <f t="shared" si="83"/>
        <v>FFDF53C0</v>
      </c>
      <c r="D716" t="s">
        <v>135</v>
      </c>
      <c r="E716">
        <v>31</v>
      </c>
      <c r="H716">
        <v>285</v>
      </c>
      <c r="I716" t="s">
        <v>136</v>
      </c>
      <c r="J716" t="s">
        <v>137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"20:24:26.273"</f>
        <v>20:24:26.273</v>
      </c>
      <c r="T716" t="str">
        <f>"20:24:26.173"</f>
        <v>20:24:26.173</v>
      </c>
      <c r="U716" t="str">
        <f t="shared" si="84"/>
        <v>AA0632</v>
      </c>
      <c r="V716">
        <v>0</v>
      </c>
      <c r="W716">
        <v>0</v>
      </c>
      <c r="X716">
        <v>2</v>
      </c>
      <c r="Y716">
        <v>0</v>
      </c>
      <c r="AA716">
        <v>0</v>
      </c>
      <c r="AB716">
        <v>9</v>
      </c>
      <c r="AC716">
        <v>3</v>
      </c>
      <c r="AD716">
        <v>0</v>
      </c>
      <c r="AE716">
        <v>10</v>
      </c>
      <c r="AF716" t="s">
        <v>126</v>
      </c>
      <c r="AG716">
        <v>0</v>
      </c>
      <c r="AH716">
        <v>0</v>
      </c>
      <c r="AI716">
        <v>2</v>
      </c>
      <c r="AJ716">
        <v>0</v>
      </c>
      <c r="AK716" t="s">
        <v>502</v>
      </c>
      <c r="AL716">
        <v>31.923437</v>
      </c>
      <c r="AM716" t="s">
        <v>503</v>
      </c>
      <c r="AN716">
        <v>-101.03471500000001</v>
      </c>
      <c r="AQ716" t="s">
        <v>129</v>
      </c>
      <c r="AR716">
        <v>83</v>
      </c>
      <c r="AS716">
        <v>-6</v>
      </c>
      <c r="AT716">
        <v>384</v>
      </c>
      <c r="BB716" t="str">
        <f t="shared" si="85"/>
        <v>1200</v>
      </c>
      <c r="BC716">
        <v>1</v>
      </c>
      <c r="BD716" t="str">
        <f t="shared" si="81"/>
        <v xml:space="preserve">N745MB  </v>
      </c>
      <c r="BE716">
        <v>1</v>
      </c>
      <c r="BG716">
        <v>0</v>
      </c>
      <c r="BH716">
        <v>0</v>
      </c>
      <c r="BI716">
        <v>0</v>
      </c>
      <c r="BL716" t="s">
        <v>130</v>
      </c>
      <c r="BM716">
        <v>1</v>
      </c>
      <c r="BN716">
        <v>0</v>
      </c>
      <c r="BO716">
        <v>0</v>
      </c>
      <c r="BP716">
        <v>0</v>
      </c>
      <c r="BT716">
        <v>0</v>
      </c>
      <c r="BU716">
        <v>0</v>
      </c>
      <c r="CE716" t="str">
        <f>"20:24:26.274"</f>
        <v>20:24:26.274</v>
      </c>
      <c r="CF716">
        <v>274494311</v>
      </c>
      <c r="CS716">
        <v>0</v>
      </c>
      <c r="CT716">
        <v>2</v>
      </c>
      <c r="CU716">
        <v>0</v>
      </c>
      <c r="CV716">
        <v>2</v>
      </c>
      <c r="CW716">
        <v>0</v>
      </c>
      <c r="CX716">
        <v>5</v>
      </c>
      <c r="CY716">
        <v>7</v>
      </c>
      <c r="CZ716" t="s">
        <v>131</v>
      </c>
      <c r="DA716">
        <v>116</v>
      </c>
      <c r="DB716">
        <v>3</v>
      </c>
      <c r="DC716" t="s">
        <v>132</v>
      </c>
      <c r="DD716" t="s">
        <v>133</v>
      </c>
      <c r="DG716">
        <v>8363539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1</v>
      </c>
      <c r="DQ716">
        <v>0</v>
      </c>
      <c r="DR716">
        <v>0</v>
      </c>
      <c r="DS716">
        <v>0</v>
      </c>
    </row>
    <row r="717" spans="1:123" x14ac:dyDescent="0.25">
      <c r="A717" t="str">
        <f>"11/29/2023 20:24:26.852"</f>
        <v>11/29/2023 20:24:26.852</v>
      </c>
      <c r="C717" t="str">
        <f t="shared" si="83"/>
        <v>FFDF53C0</v>
      </c>
      <c r="D717" t="s">
        <v>138</v>
      </c>
      <c r="E717">
        <v>3</v>
      </c>
      <c r="H717">
        <v>160</v>
      </c>
      <c r="I717" t="s">
        <v>124</v>
      </c>
      <c r="J717" t="s">
        <v>139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"20:24:26.273"</f>
        <v>20:24:26.273</v>
      </c>
      <c r="T717" t="str">
        <f>"20:24:26.173"</f>
        <v>20:24:26.173</v>
      </c>
      <c r="U717" t="str">
        <f t="shared" si="84"/>
        <v>AA0632</v>
      </c>
      <c r="V717">
        <v>0</v>
      </c>
      <c r="W717">
        <v>0</v>
      </c>
      <c r="X717">
        <v>2</v>
      </c>
      <c r="Y717">
        <v>0</v>
      </c>
      <c r="AA717">
        <v>0</v>
      </c>
      <c r="AB717">
        <v>9</v>
      </c>
      <c r="AC717">
        <v>3</v>
      </c>
      <c r="AD717">
        <v>0</v>
      </c>
      <c r="AE717">
        <v>10</v>
      </c>
      <c r="AF717" t="s">
        <v>126</v>
      </c>
      <c r="AG717">
        <v>0</v>
      </c>
      <c r="AH717">
        <v>0</v>
      </c>
      <c r="AI717">
        <v>2</v>
      </c>
      <c r="AJ717">
        <v>0</v>
      </c>
      <c r="AK717" t="s">
        <v>502</v>
      </c>
      <c r="AL717">
        <v>31.923437</v>
      </c>
      <c r="AM717" t="s">
        <v>503</v>
      </c>
      <c r="AN717">
        <v>-101.03471500000001</v>
      </c>
      <c r="AQ717" t="s">
        <v>129</v>
      </c>
      <c r="AR717">
        <v>83</v>
      </c>
      <c r="AS717">
        <v>-6</v>
      </c>
      <c r="AT717">
        <v>384</v>
      </c>
      <c r="BB717" t="str">
        <f t="shared" si="85"/>
        <v>1200</v>
      </c>
      <c r="BC717">
        <v>1</v>
      </c>
      <c r="BD717" t="str">
        <f t="shared" si="81"/>
        <v xml:space="preserve">N745MB  </v>
      </c>
      <c r="BE717">
        <v>1</v>
      </c>
      <c r="BG717">
        <v>0</v>
      </c>
      <c r="BH717">
        <v>0</v>
      </c>
      <c r="BI717">
        <v>0</v>
      </c>
      <c r="BL717" t="s">
        <v>130</v>
      </c>
      <c r="BM717">
        <v>1</v>
      </c>
      <c r="BN717">
        <v>0</v>
      </c>
      <c r="BO717">
        <v>0</v>
      </c>
      <c r="BP717">
        <v>0</v>
      </c>
      <c r="BT717">
        <v>0</v>
      </c>
      <c r="BU717">
        <v>0</v>
      </c>
      <c r="CE717" t="str">
        <f>"20:24:26.274"</f>
        <v>20:24:26.274</v>
      </c>
      <c r="CF717">
        <v>274494311</v>
      </c>
      <c r="CS717">
        <v>0</v>
      </c>
      <c r="CT717">
        <v>2</v>
      </c>
      <c r="CU717">
        <v>0</v>
      </c>
      <c r="CV717">
        <v>2</v>
      </c>
      <c r="CW717">
        <v>0</v>
      </c>
      <c r="CX717">
        <v>5</v>
      </c>
      <c r="CY717">
        <v>7</v>
      </c>
      <c r="CZ717" t="s">
        <v>131</v>
      </c>
      <c r="DA717">
        <v>116</v>
      </c>
      <c r="DB717">
        <v>3</v>
      </c>
      <c r="DC717" t="s">
        <v>132</v>
      </c>
      <c r="DD717" t="s">
        <v>133</v>
      </c>
      <c r="DG717">
        <v>8363539</v>
      </c>
      <c r="DI717">
        <v>0</v>
      </c>
      <c r="DJ717">
        <v>0</v>
      </c>
      <c r="DK717">
        <v>1</v>
      </c>
      <c r="DL717">
        <v>0</v>
      </c>
      <c r="DM717">
        <v>0</v>
      </c>
      <c r="DN717">
        <v>0</v>
      </c>
      <c r="DO717">
        <v>0</v>
      </c>
      <c r="DP717">
        <v>1</v>
      </c>
      <c r="DQ717">
        <v>0</v>
      </c>
      <c r="DR717">
        <v>0</v>
      </c>
      <c r="DS717">
        <v>0</v>
      </c>
    </row>
    <row r="718" spans="1:123" x14ac:dyDescent="0.25">
      <c r="A718" t="str">
        <f>"11/29/2023 20:24:26.852"</f>
        <v>11/29/2023 20:24:26.852</v>
      </c>
      <c r="C718" t="str">
        <f t="shared" si="83"/>
        <v>FFDF53C0</v>
      </c>
      <c r="D718" t="s">
        <v>123</v>
      </c>
      <c r="E718">
        <v>14</v>
      </c>
      <c r="F718">
        <v>1014</v>
      </c>
      <c r="G718" t="s">
        <v>124</v>
      </c>
      <c r="J718" t="s">
        <v>125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"20:24:26.273"</f>
        <v>20:24:26.273</v>
      </c>
      <c r="T718" t="str">
        <f>"20:24:26.173"</f>
        <v>20:24:26.173</v>
      </c>
      <c r="U718" t="str">
        <f t="shared" si="84"/>
        <v>AA0632</v>
      </c>
      <c r="V718">
        <v>0</v>
      </c>
      <c r="W718">
        <v>0</v>
      </c>
      <c r="X718">
        <v>2</v>
      </c>
      <c r="Y718">
        <v>0</v>
      </c>
      <c r="AA718">
        <v>0</v>
      </c>
      <c r="AB718">
        <v>9</v>
      </c>
      <c r="AC718">
        <v>3</v>
      </c>
      <c r="AD718">
        <v>0</v>
      </c>
      <c r="AE718">
        <v>10</v>
      </c>
      <c r="AF718" t="s">
        <v>126</v>
      </c>
      <c r="AG718">
        <v>0</v>
      </c>
      <c r="AH718">
        <v>0</v>
      </c>
      <c r="AI718">
        <v>2</v>
      </c>
      <c r="AJ718">
        <v>0</v>
      </c>
      <c r="AK718" t="s">
        <v>502</v>
      </c>
      <c r="AL718">
        <v>31.923437</v>
      </c>
      <c r="AM718" t="s">
        <v>503</v>
      </c>
      <c r="AN718">
        <v>-101.03471500000001</v>
      </c>
      <c r="AQ718" t="s">
        <v>129</v>
      </c>
      <c r="AR718">
        <v>83</v>
      </c>
      <c r="AS718">
        <v>-6</v>
      </c>
      <c r="AT718">
        <v>384</v>
      </c>
      <c r="BB718" t="str">
        <f t="shared" si="85"/>
        <v>1200</v>
      </c>
      <c r="BC718">
        <v>1</v>
      </c>
      <c r="BD718" t="str">
        <f t="shared" si="81"/>
        <v xml:space="preserve">N745MB  </v>
      </c>
      <c r="BE718">
        <v>1</v>
      </c>
      <c r="BG718">
        <v>0</v>
      </c>
      <c r="BH718">
        <v>0</v>
      </c>
      <c r="BI718">
        <v>0</v>
      </c>
      <c r="BL718" t="s">
        <v>130</v>
      </c>
      <c r="BM718">
        <v>1</v>
      </c>
      <c r="BN718">
        <v>0</v>
      </c>
      <c r="BO718">
        <v>0</v>
      </c>
      <c r="BP718">
        <v>0</v>
      </c>
      <c r="BT718">
        <v>0</v>
      </c>
      <c r="BU718">
        <v>0</v>
      </c>
      <c r="CE718" t="str">
        <f>"20:24:26.274"</f>
        <v>20:24:26.274</v>
      </c>
      <c r="CF718">
        <v>274494311</v>
      </c>
      <c r="CS718">
        <v>0</v>
      </c>
      <c r="CT718">
        <v>2</v>
      </c>
      <c r="CU718">
        <v>0</v>
      </c>
      <c r="CV718">
        <v>2</v>
      </c>
      <c r="CW718">
        <v>0</v>
      </c>
      <c r="CX718">
        <v>5</v>
      </c>
      <c r="CY718">
        <v>7</v>
      </c>
      <c r="CZ718" t="s">
        <v>131</v>
      </c>
      <c r="DA718">
        <v>116</v>
      </c>
      <c r="DB718">
        <v>3</v>
      </c>
      <c r="DC718" t="s">
        <v>132</v>
      </c>
      <c r="DD718" t="s">
        <v>133</v>
      </c>
      <c r="DG718">
        <v>8363539</v>
      </c>
      <c r="DI718">
        <v>0</v>
      </c>
      <c r="DJ718">
        <v>0</v>
      </c>
      <c r="DK718">
        <v>1</v>
      </c>
      <c r="DL718">
        <v>0</v>
      </c>
      <c r="DM718">
        <v>0</v>
      </c>
      <c r="DN718">
        <v>0</v>
      </c>
      <c r="DO718">
        <v>0</v>
      </c>
      <c r="DP718">
        <v>1</v>
      </c>
      <c r="DQ718">
        <v>0</v>
      </c>
      <c r="DR718">
        <v>0</v>
      </c>
      <c r="DS718">
        <v>0</v>
      </c>
    </row>
    <row r="719" spans="1:123" x14ac:dyDescent="0.25">
      <c r="A719" t="str">
        <f>"11/29/2023 20:24:26.852"</f>
        <v>11/29/2023 20:24:26.852</v>
      </c>
      <c r="C719" t="str">
        <f t="shared" si="83"/>
        <v>FFDF53C0</v>
      </c>
      <c r="D719" t="s">
        <v>123</v>
      </c>
      <c r="E719">
        <v>1</v>
      </c>
      <c r="F719">
        <v>1001</v>
      </c>
      <c r="G719" t="s">
        <v>134</v>
      </c>
      <c r="J719" t="s">
        <v>125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"20:24:26.273"</f>
        <v>20:24:26.273</v>
      </c>
      <c r="T719" t="str">
        <f>"20:24:26.173"</f>
        <v>20:24:26.173</v>
      </c>
      <c r="U719" t="str">
        <f t="shared" si="84"/>
        <v>AA0632</v>
      </c>
      <c r="V719">
        <v>0</v>
      </c>
      <c r="W719">
        <v>0</v>
      </c>
      <c r="X719">
        <v>2</v>
      </c>
      <c r="Y719">
        <v>0</v>
      </c>
      <c r="AA719">
        <v>0</v>
      </c>
      <c r="AB719">
        <v>9</v>
      </c>
      <c r="AC719">
        <v>3</v>
      </c>
      <c r="AD719">
        <v>0</v>
      </c>
      <c r="AE719">
        <v>10</v>
      </c>
      <c r="AF719" t="s">
        <v>126</v>
      </c>
      <c r="AG719">
        <v>0</v>
      </c>
      <c r="AH719">
        <v>0</v>
      </c>
      <c r="AI719">
        <v>2</v>
      </c>
      <c r="AJ719">
        <v>0</v>
      </c>
      <c r="AK719" t="s">
        <v>502</v>
      </c>
      <c r="AL719">
        <v>31.923437</v>
      </c>
      <c r="AM719" t="s">
        <v>503</v>
      </c>
      <c r="AN719">
        <v>-101.03471500000001</v>
      </c>
      <c r="AQ719" t="s">
        <v>129</v>
      </c>
      <c r="AR719">
        <v>83</v>
      </c>
      <c r="AS719">
        <v>-6</v>
      </c>
      <c r="AT719">
        <v>384</v>
      </c>
      <c r="BB719" t="str">
        <f t="shared" si="85"/>
        <v>1200</v>
      </c>
      <c r="BC719">
        <v>1</v>
      </c>
      <c r="BD719" t="str">
        <f t="shared" si="81"/>
        <v xml:space="preserve">N745MB  </v>
      </c>
      <c r="BE719">
        <v>1</v>
      </c>
      <c r="BG719">
        <v>0</v>
      </c>
      <c r="BH719">
        <v>0</v>
      </c>
      <c r="BI719">
        <v>0</v>
      </c>
      <c r="BL719" t="s">
        <v>130</v>
      </c>
      <c r="BM719">
        <v>1</v>
      </c>
      <c r="BN719">
        <v>0</v>
      </c>
      <c r="BO719">
        <v>0</v>
      </c>
      <c r="BP719">
        <v>0</v>
      </c>
      <c r="BT719">
        <v>0</v>
      </c>
      <c r="BU719">
        <v>0</v>
      </c>
      <c r="CE719" t="str">
        <f>"20:24:26.274"</f>
        <v>20:24:26.274</v>
      </c>
      <c r="CF719">
        <v>274494311</v>
      </c>
      <c r="CS719">
        <v>0</v>
      </c>
      <c r="CT719">
        <v>2</v>
      </c>
      <c r="CU719">
        <v>0</v>
      </c>
      <c r="CV719">
        <v>2</v>
      </c>
      <c r="CW719">
        <v>0</v>
      </c>
      <c r="CX719">
        <v>5</v>
      </c>
      <c r="CY719">
        <v>7</v>
      </c>
      <c r="CZ719" t="s">
        <v>131</v>
      </c>
      <c r="DA719">
        <v>116</v>
      </c>
      <c r="DB719">
        <v>3</v>
      </c>
      <c r="DC719" t="s">
        <v>132</v>
      </c>
      <c r="DD719" t="s">
        <v>133</v>
      </c>
      <c r="DG719">
        <v>8363539</v>
      </c>
      <c r="DI719">
        <v>0</v>
      </c>
      <c r="DJ719">
        <v>0</v>
      </c>
      <c r="DK719">
        <v>1</v>
      </c>
      <c r="DL719">
        <v>0</v>
      </c>
      <c r="DM719">
        <v>0</v>
      </c>
      <c r="DN719">
        <v>0</v>
      </c>
      <c r="DO719">
        <v>0</v>
      </c>
      <c r="DP719">
        <v>1</v>
      </c>
      <c r="DQ719">
        <v>0</v>
      </c>
      <c r="DR719">
        <v>0</v>
      </c>
      <c r="DS719">
        <v>0</v>
      </c>
    </row>
    <row r="720" spans="1:123" x14ac:dyDescent="0.25">
      <c r="A720" t="str">
        <f>"11/29/2023 20:24:28.008"</f>
        <v>11/29/2023 20:24:28.008</v>
      </c>
      <c r="C720" t="str">
        <f t="shared" si="83"/>
        <v>FFDF53C0</v>
      </c>
      <c r="D720" t="s">
        <v>135</v>
      </c>
      <c r="E720">
        <v>31</v>
      </c>
      <c r="H720">
        <v>285</v>
      </c>
      <c r="I720" t="s">
        <v>136</v>
      </c>
      <c r="J720" t="s">
        <v>137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"20:24:27.773"</f>
        <v>20:24:27.773</v>
      </c>
      <c r="T720" t="str">
        <f>"20:24:27.173"</f>
        <v>20:24:27.173</v>
      </c>
      <c r="U720" t="str">
        <f t="shared" si="84"/>
        <v>AA0632</v>
      </c>
      <c r="V720">
        <v>0</v>
      </c>
      <c r="W720">
        <v>0</v>
      </c>
      <c r="X720">
        <v>2</v>
      </c>
      <c r="Y720">
        <v>0</v>
      </c>
      <c r="AA720">
        <v>0</v>
      </c>
      <c r="AB720">
        <v>9</v>
      </c>
      <c r="AC720">
        <v>3</v>
      </c>
      <c r="AD720">
        <v>0</v>
      </c>
      <c r="AE720">
        <v>10</v>
      </c>
      <c r="AF720" t="s">
        <v>126</v>
      </c>
      <c r="AG720">
        <v>0</v>
      </c>
      <c r="AH720">
        <v>0</v>
      </c>
      <c r="AI720">
        <v>2</v>
      </c>
      <c r="AJ720">
        <v>0</v>
      </c>
      <c r="AK720" t="s">
        <v>502</v>
      </c>
      <c r="AL720">
        <v>31.923437</v>
      </c>
      <c r="AM720" t="s">
        <v>504</v>
      </c>
      <c r="AN720">
        <v>-101.034029</v>
      </c>
      <c r="AQ720" t="s">
        <v>129</v>
      </c>
      <c r="AR720">
        <v>84</v>
      </c>
      <c r="AS720">
        <v>-5</v>
      </c>
      <c r="AT720">
        <v>256</v>
      </c>
      <c r="BB720" t="str">
        <f t="shared" si="85"/>
        <v>1200</v>
      </c>
      <c r="BC720">
        <v>1</v>
      </c>
      <c r="BD720" t="str">
        <f t="shared" si="81"/>
        <v xml:space="preserve">N745MB  </v>
      </c>
      <c r="BE720">
        <v>1</v>
      </c>
      <c r="BG720">
        <v>0</v>
      </c>
      <c r="BH720">
        <v>0</v>
      </c>
      <c r="BI720">
        <v>0</v>
      </c>
      <c r="BL720" t="s">
        <v>130</v>
      </c>
      <c r="BM720">
        <v>1</v>
      </c>
      <c r="BN720">
        <v>0</v>
      </c>
      <c r="BO720">
        <v>0</v>
      </c>
      <c r="BP720">
        <v>0</v>
      </c>
      <c r="BT720">
        <v>0</v>
      </c>
      <c r="BU720">
        <v>0</v>
      </c>
      <c r="CE720" t="str">
        <f>"20:24:27.776"</f>
        <v>20:24:27.776</v>
      </c>
      <c r="CF720">
        <v>776393771</v>
      </c>
      <c r="CS720">
        <v>0</v>
      </c>
      <c r="CT720">
        <v>2</v>
      </c>
      <c r="CU720">
        <v>0</v>
      </c>
      <c r="CV720">
        <v>2</v>
      </c>
      <c r="CW720">
        <v>0</v>
      </c>
      <c r="CX720">
        <v>5</v>
      </c>
      <c r="CY720">
        <v>7</v>
      </c>
      <c r="CZ720" t="s">
        <v>131</v>
      </c>
      <c r="DA720">
        <v>116</v>
      </c>
      <c r="DB720">
        <v>3</v>
      </c>
      <c r="DC720" t="s">
        <v>132</v>
      </c>
      <c r="DD720" t="s">
        <v>133</v>
      </c>
      <c r="DG720">
        <v>8364379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1</v>
      </c>
      <c r="DQ720">
        <v>0</v>
      </c>
      <c r="DR720">
        <v>0</v>
      </c>
      <c r="DS720">
        <v>0</v>
      </c>
    </row>
    <row r="721" spans="1:123" x14ac:dyDescent="0.25">
      <c r="A721" t="str">
        <f>"11/29/2023 20:24:28.071"</f>
        <v>11/29/2023 20:24:28.071</v>
      </c>
      <c r="C721" t="str">
        <f t="shared" si="83"/>
        <v>FFDF53C0</v>
      </c>
      <c r="D721" t="s">
        <v>138</v>
      </c>
      <c r="E721">
        <v>3</v>
      </c>
      <c r="H721">
        <v>160</v>
      </c>
      <c r="I721" t="s">
        <v>124</v>
      </c>
      <c r="J721" t="s">
        <v>139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"20:24:27.773"</f>
        <v>20:24:27.773</v>
      </c>
      <c r="T721" t="str">
        <f>"20:24:27.173"</f>
        <v>20:24:27.173</v>
      </c>
      <c r="U721" t="str">
        <f t="shared" si="84"/>
        <v>AA0632</v>
      </c>
      <c r="V721">
        <v>0</v>
      </c>
      <c r="W721">
        <v>0</v>
      </c>
      <c r="X721">
        <v>2</v>
      </c>
      <c r="Y721">
        <v>0</v>
      </c>
      <c r="AA721">
        <v>0</v>
      </c>
      <c r="AB721">
        <v>9</v>
      </c>
      <c r="AC721">
        <v>3</v>
      </c>
      <c r="AD721">
        <v>0</v>
      </c>
      <c r="AE721">
        <v>10</v>
      </c>
      <c r="AF721" t="s">
        <v>126</v>
      </c>
      <c r="AG721">
        <v>0</v>
      </c>
      <c r="AH721">
        <v>0</v>
      </c>
      <c r="AI721">
        <v>2</v>
      </c>
      <c r="AJ721">
        <v>0</v>
      </c>
      <c r="AK721" t="s">
        <v>502</v>
      </c>
      <c r="AL721">
        <v>31.923437</v>
      </c>
      <c r="AM721" t="s">
        <v>504</v>
      </c>
      <c r="AN721">
        <v>-101.034029</v>
      </c>
      <c r="AQ721" t="s">
        <v>129</v>
      </c>
      <c r="AR721">
        <v>84</v>
      </c>
      <c r="AS721">
        <v>-5</v>
      </c>
      <c r="AT721">
        <v>256</v>
      </c>
      <c r="BB721" t="str">
        <f t="shared" si="85"/>
        <v>1200</v>
      </c>
      <c r="BC721">
        <v>1</v>
      </c>
      <c r="BD721" t="str">
        <f t="shared" si="81"/>
        <v xml:space="preserve">N745MB  </v>
      </c>
      <c r="BE721">
        <v>1</v>
      </c>
      <c r="BG721">
        <v>0</v>
      </c>
      <c r="BH721">
        <v>0</v>
      </c>
      <c r="BI721">
        <v>0</v>
      </c>
      <c r="BL721" t="s">
        <v>130</v>
      </c>
      <c r="BM721">
        <v>1</v>
      </c>
      <c r="BN721">
        <v>0</v>
      </c>
      <c r="BO721">
        <v>0</v>
      </c>
      <c r="BP721">
        <v>0</v>
      </c>
      <c r="BT721">
        <v>0</v>
      </c>
      <c r="BU721">
        <v>0</v>
      </c>
      <c r="CE721" t="str">
        <f>"20:24:27.776"</f>
        <v>20:24:27.776</v>
      </c>
      <c r="CF721">
        <v>776393771</v>
      </c>
      <c r="CS721">
        <v>0</v>
      </c>
      <c r="CT721">
        <v>2</v>
      </c>
      <c r="CU721">
        <v>0</v>
      </c>
      <c r="CV721">
        <v>2</v>
      </c>
      <c r="CW721">
        <v>0</v>
      </c>
      <c r="CX721">
        <v>5</v>
      </c>
      <c r="CY721">
        <v>7</v>
      </c>
      <c r="CZ721" t="s">
        <v>131</v>
      </c>
      <c r="DA721">
        <v>116</v>
      </c>
      <c r="DB721">
        <v>3</v>
      </c>
      <c r="DC721" t="s">
        <v>132</v>
      </c>
      <c r="DD721" t="s">
        <v>133</v>
      </c>
      <c r="DG721">
        <v>8364379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1</v>
      </c>
      <c r="DQ721">
        <v>0</v>
      </c>
      <c r="DR721">
        <v>0</v>
      </c>
      <c r="DS721">
        <v>0</v>
      </c>
    </row>
    <row r="722" spans="1:123" x14ac:dyDescent="0.25">
      <c r="A722" t="str">
        <f>"11/29/2023 20:24:28.133"</f>
        <v>11/29/2023 20:24:28.133</v>
      </c>
      <c r="C722" t="str">
        <f t="shared" si="83"/>
        <v>FFDF53C0</v>
      </c>
      <c r="D722" t="s">
        <v>123</v>
      </c>
      <c r="E722">
        <v>14</v>
      </c>
      <c r="F722">
        <v>1014</v>
      </c>
      <c r="G722" t="s">
        <v>124</v>
      </c>
      <c r="J722" t="s">
        <v>125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"20:24:27.773"</f>
        <v>20:24:27.773</v>
      </c>
      <c r="T722" t="str">
        <f>"20:24:27.173"</f>
        <v>20:24:27.173</v>
      </c>
      <c r="U722" t="str">
        <f t="shared" si="84"/>
        <v>AA0632</v>
      </c>
      <c r="V722">
        <v>0</v>
      </c>
      <c r="W722">
        <v>0</v>
      </c>
      <c r="X722">
        <v>2</v>
      </c>
      <c r="Y722">
        <v>0</v>
      </c>
      <c r="AA722">
        <v>0</v>
      </c>
      <c r="AB722">
        <v>9</v>
      </c>
      <c r="AC722">
        <v>3</v>
      </c>
      <c r="AD722">
        <v>0</v>
      </c>
      <c r="AE722">
        <v>10</v>
      </c>
      <c r="AF722" t="s">
        <v>126</v>
      </c>
      <c r="AG722">
        <v>0</v>
      </c>
      <c r="AH722">
        <v>0</v>
      </c>
      <c r="AI722">
        <v>2</v>
      </c>
      <c r="AJ722">
        <v>0</v>
      </c>
      <c r="AK722" t="s">
        <v>502</v>
      </c>
      <c r="AL722">
        <v>31.923437</v>
      </c>
      <c r="AM722" t="s">
        <v>504</v>
      </c>
      <c r="AN722">
        <v>-101.034029</v>
      </c>
      <c r="AQ722" t="s">
        <v>129</v>
      </c>
      <c r="AR722">
        <v>84</v>
      </c>
      <c r="AS722">
        <v>-5</v>
      </c>
      <c r="AT722">
        <v>256</v>
      </c>
      <c r="BB722" t="str">
        <f t="shared" si="85"/>
        <v>1200</v>
      </c>
      <c r="BC722">
        <v>1</v>
      </c>
      <c r="BD722" t="str">
        <f t="shared" ref="BD722:BD731" si="86">"N745MB  "</f>
        <v xml:space="preserve">N745MB  </v>
      </c>
      <c r="BE722">
        <v>1</v>
      </c>
      <c r="BG722">
        <v>0</v>
      </c>
      <c r="BH722">
        <v>0</v>
      </c>
      <c r="BI722">
        <v>0</v>
      </c>
      <c r="BL722" t="s">
        <v>130</v>
      </c>
      <c r="BM722">
        <v>1</v>
      </c>
      <c r="BN722">
        <v>0</v>
      </c>
      <c r="BO722">
        <v>0</v>
      </c>
      <c r="BP722">
        <v>0</v>
      </c>
      <c r="BT722">
        <v>0</v>
      </c>
      <c r="BU722">
        <v>0</v>
      </c>
      <c r="CE722" t="str">
        <f>"20:24:27.776"</f>
        <v>20:24:27.776</v>
      </c>
      <c r="CF722">
        <v>776393771</v>
      </c>
      <c r="CS722">
        <v>0</v>
      </c>
      <c r="CT722">
        <v>2</v>
      </c>
      <c r="CU722">
        <v>0</v>
      </c>
      <c r="CV722">
        <v>2</v>
      </c>
      <c r="CW722">
        <v>0</v>
      </c>
      <c r="CX722">
        <v>5</v>
      </c>
      <c r="CY722">
        <v>7</v>
      </c>
      <c r="CZ722" t="s">
        <v>131</v>
      </c>
      <c r="DA722">
        <v>116</v>
      </c>
      <c r="DB722">
        <v>3</v>
      </c>
      <c r="DC722" t="s">
        <v>132</v>
      </c>
      <c r="DD722" t="s">
        <v>133</v>
      </c>
      <c r="DG722">
        <v>8364379</v>
      </c>
      <c r="DI722">
        <v>0</v>
      </c>
      <c r="DJ722">
        <v>0</v>
      </c>
      <c r="DK722">
        <v>1</v>
      </c>
      <c r="DL722">
        <v>0</v>
      </c>
      <c r="DM722">
        <v>0</v>
      </c>
      <c r="DN722">
        <v>0</v>
      </c>
      <c r="DO722">
        <v>0</v>
      </c>
      <c r="DP722">
        <v>1</v>
      </c>
      <c r="DQ722">
        <v>0</v>
      </c>
      <c r="DR722">
        <v>0</v>
      </c>
      <c r="DS722">
        <v>0</v>
      </c>
    </row>
    <row r="723" spans="1:123" x14ac:dyDescent="0.25">
      <c r="A723" t="str">
        <f>"11/29/2023 20:24:28.133"</f>
        <v>11/29/2023 20:24:28.133</v>
      </c>
      <c r="C723" t="str">
        <f t="shared" si="83"/>
        <v>FFDF53C0</v>
      </c>
      <c r="D723" t="s">
        <v>123</v>
      </c>
      <c r="E723">
        <v>1</v>
      </c>
      <c r="F723">
        <v>1001</v>
      </c>
      <c r="G723" t="s">
        <v>134</v>
      </c>
      <c r="J723" t="s">
        <v>125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"20:24:27.773"</f>
        <v>20:24:27.773</v>
      </c>
      <c r="T723" t="str">
        <f>"20:24:27.173"</f>
        <v>20:24:27.173</v>
      </c>
      <c r="U723" t="str">
        <f t="shared" si="84"/>
        <v>AA0632</v>
      </c>
      <c r="V723">
        <v>0</v>
      </c>
      <c r="W723">
        <v>0</v>
      </c>
      <c r="X723">
        <v>2</v>
      </c>
      <c r="Y723">
        <v>0</v>
      </c>
      <c r="AA723">
        <v>0</v>
      </c>
      <c r="AB723">
        <v>9</v>
      </c>
      <c r="AC723">
        <v>3</v>
      </c>
      <c r="AD723">
        <v>0</v>
      </c>
      <c r="AE723">
        <v>10</v>
      </c>
      <c r="AF723" t="s">
        <v>126</v>
      </c>
      <c r="AG723">
        <v>0</v>
      </c>
      <c r="AH723">
        <v>0</v>
      </c>
      <c r="AI723">
        <v>2</v>
      </c>
      <c r="AJ723">
        <v>0</v>
      </c>
      <c r="AK723" t="s">
        <v>502</v>
      </c>
      <c r="AL723">
        <v>31.923437</v>
      </c>
      <c r="AM723" t="s">
        <v>504</v>
      </c>
      <c r="AN723">
        <v>-101.034029</v>
      </c>
      <c r="AQ723" t="s">
        <v>129</v>
      </c>
      <c r="AR723">
        <v>84</v>
      </c>
      <c r="AS723">
        <v>-5</v>
      </c>
      <c r="AT723">
        <v>256</v>
      </c>
      <c r="BB723" t="str">
        <f t="shared" si="85"/>
        <v>1200</v>
      </c>
      <c r="BC723">
        <v>1</v>
      </c>
      <c r="BD723" t="str">
        <f t="shared" si="86"/>
        <v xml:space="preserve">N745MB  </v>
      </c>
      <c r="BE723">
        <v>1</v>
      </c>
      <c r="BG723">
        <v>0</v>
      </c>
      <c r="BH723">
        <v>0</v>
      </c>
      <c r="BI723">
        <v>0</v>
      </c>
      <c r="BL723" t="s">
        <v>130</v>
      </c>
      <c r="BM723">
        <v>1</v>
      </c>
      <c r="BN723">
        <v>0</v>
      </c>
      <c r="BO723">
        <v>0</v>
      </c>
      <c r="BP723">
        <v>0</v>
      </c>
      <c r="BT723">
        <v>0</v>
      </c>
      <c r="BU723">
        <v>0</v>
      </c>
      <c r="CE723" t="str">
        <f>"20:24:27.776"</f>
        <v>20:24:27.776</v>
      </c>
      <c r="CF723">
        <v>776393771</v>
      </c>
      <c r="CS723">
        <v>0</v>
      </c>
      <c r="CT723">
        <v>2</v>
      </c>
      <c r="CU723">
        <v>0</v>
      </c>
      <c r="CV723">
        <v>2</v>
      </c>
      <c r="CW723">
        <v>0</v>
      </c>
      <c r="CX723">
        <v>5</v>
      </c>
      <c r="CY723">
        <v>7</v>
      </c>
      <c r="CZ723" t="s">
        <v>131</v>
      </c>
      <c r="DA723">
        <v>116</v>
      </c>
      <c r="DB723">
        <v>3</v>
      </c>
      <c r="DC723" t="s">
        <v>132</v>
      </c>
      <c r="DD723" t="s">
        <v>133</v>
      </c>
      <c r="DG723">
        <v>8364379</v>
      </c>
      <c r="DI723">
        <v>0</v>
      </c>
      <c r="DJ723">
        <v>0</v>
      </c>
      <c r="DK723">
        <v>1</v>
      </c>
      <c r="DL723">
        <v>0</v>
      </c>
      <c r="DM723">
        <v>0</v>
      </c>
      <c r="DN723">
        <v>0</v>
      </c>
      <c r="DO723">
        <v>0</v>
      </c>
      <c r="DP723">
        <v>1</v>
      </c>
      <c r="DQ723">
        <v>0</v>
      </c>
      <c r="DR723">
        <v>0</v>
      </c>
      <c r="DS723">
        <v>0</v>
      </c>
    </row>
    <row r="724" spans="1:123" x14ac:dyDescent="0.25">
      <c r="A724" t="str">
        <f>"11/29/2023 20:24:29.352"</f>
        <v>11/29/2023 20:24:29.352</v>
      </c>
      <c r="C724" t="str">
        <f t="shared" si="83"/>
        <v>FFDF53C0</v>
      </c>
      <c r="D724" t="s">
        <v>138</v>
      </c>
      <c r="E724">
        <v>3</v>
      </c>
      <c r="H724">
        <v>160</v>
      </c>
      <c r="I724" t="s">
        <v>124</v>
      </c>
      <c r="J724" t="s">
        <v>139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"20:24:29.016"</f>
        <v>20:24:29.016</v>
      </c>
      <c r="T724" t="str">
        <f>"20:24:28.816"</f>
        <v>20:24:28.816</v>
      </c>
      <c r="U724" t="str">
        <f t="shared" si="84"/>
        <v>AA0632</v>
      </c>
      <c r="V724">
        <v>0</v>
      </c>
      <c r="W724">
        <v>0</v>
      </c>
      <c r="X724">
        <v>2</v>
      </c>
      <c r="Y724">
        <v>0</v>
      </c>
      <c r="AA724">
        <v>0</v>
      </c>
      <c r="AB724">
        <v>9</v>
      </c>
      <c r="AC724">
        <v>3</v>
      </c>
      <c r="AD724">
        <v>0</v>
      </c>
      <c r="AE724">
        <v>10</v>
      </c>
      <c r="AF724" t="s">
        <v>126</v>
      </c>
      <c r="AG724">
        <v>0</v>
      </c>
      <c r="AH724">
        <v>0</v>
      </c>
      <c r="AI724">
        <v>2</v>
      </c>
      <c r="AJ724">
        <v>0</v>
      </c>
      <c r="AK724" t="s">
        <v>505</v>
      </c>
      <c r="AL724">
        <v>31.923393999999998</v>
      </c>
      <c r="AM724" t="s">
        <v>506</v>
      </c>
      <c r="AN724">
        <v>-101.033406</v>
      </c>
      <c r="AQ724" t="s">
        <v>129</v>
      </c>
      <c r="AR724">
        <v>85</v>
      </c>
      <c r="AS724">
        <v>-5</v>
      </c>
      <c r="AT724">
        <v>64</v>
      </c>
      <c r="BB724" t="str">
        <f t="shared" si="85"/>
        <v>1200</v>
      </c>
      <c r="BC724">
        <v>1</v>
      </c>
      <c r="BD724" t="str">
        <f t="shared" si="86"/>
        <v xml:space="preserve">N745MB  </v>
      </c>
      <c r="BE724">
        <v>1</v>
      </c>
      <c r="BG724">
        <v>0</v>
      </c>
      <c r="BH724">
        <v>0</v>
      </c>
      <c r="BI724">
        <v>0</v>
      </c>
      <c r="BL724" t="s">
        <v>130</v>
      </c>
      <c r="BM724">
        <v>1</v>
      </c>
      <c r="BN724">
        <v>0</v>
      </c>
      <c r="BO724">
        <v>0</v>
      </c>
      <c r="BP724">
        <v>0</v>
      </c>
      <c r="BT724">
        <v>0</v>
      </c>
      <c r="BU724">
        <v>0</v>
      </c>
      <c r="CE724" t="str">
        <f>"20:24:29.016"</f>
        <v>20:24:29.016</v>
      </c>
      <c r="CF724">
        <v>16309543</v>
      </c>
      <c r="CS724">
        <v>0</v>
      </c>
      <c r="CT724">
        <v>2</v>
      </c>
      <c r="CU724">
        <v>0</v>
      </c>
      <c r="CV724">
        <v>2</v>
      </c>
      <c r="CW724">
        <v>0</v>
      </c>
      <c r="CX724">
        <v>5</v>
      </c>
      <c r="CY724">
        <v>7</v>
      </c>
      <c r="CZ724" t="s">
        <v>131</v>
      </c>
      <c r="DA724">
        <v>116</v>
      </c>
      <c r="DB724">
        <v>3</v>
      </c>
      <c r="DC724" t="s">
        <v>132</v>
      </c>
      <c r="DD724" t="s">
        <v>133</v>
      </c>
      <c r="DG724">
        <v>8365025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1</v>
      </c>
      <c r="DQ724">
        <v>0</v>
      </c>
      <c r="DR724">
        <v>0</v>
      </c>
      <c r="DS724">
        <v>0</v>
      </c>
    </row>
    <row r="725" spans="1:123" x14ac:dyDescent="0.25">
      <c r="A725" t="str">
        <f>"11/29/2023 20:24:29.446"</f>
        <v>11/29/2023 20:24:29.446</v>
      </c>
      <c r="C725" t="str">
        <f t="shared" ref="C725:C731" si="87">"FFDF53C0"</f>
        <v>FFDF53C0</v>
      </c>
      <c r="D725" t="s">
        <v>123</v>
      </c>
      <c r="E725">
        <v>14</v>
      </c>
      <c r="F725">
        <v>1014</v>
      </c>
      <c r="G725" t="s">
        <v>124</v>
      </c>
      <c r="J725" t="s">
        <v>125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"20:24:29.016"</f>
        <v>20:24:29.016</v>
      </c>
      <c r="T725" t="str">
        <f>"20:24:28.816"</f>
        <v>20:24:28.816</v>
      </c>
      <c r="U725" t="str">
        <f t="shared" si="84"/>
        <v>AA0632</v>
      </c>
      <c r="V725">
        <v>0</v>
      </c>
      <c r="W725">
        <v>0</v>
      </c>
      <c r="X725">
        <v>2</v>
      </c>
      <c r="Y725">
        <v>0</v>
      </c>
      <c r="AA725">
        <v>0</v>
      </c>
      <c r="AB725">
        <v>9</v>
      </c>
      <c r="AC725">
        <v>3</v>
      </c>
      <c r="AD725">
        <v>0</v>
      </c>
      <c r="AE725">
        <v>10</v>
      </c>
      <c r="AF725" t="s">
        <v>126</v>
      </c>
      <c r="AG725">
        <v>0</v>
      </c>
      <c r="AH725">
        <v>0</v>
      </c>
      <c r="AI725">
        <v>2</v>
      </c>
      <c r="AJ725">
        <v>0</v>
      </c>
      <c r="AK725" t="s">
        <v>505</v>
      </c>
      <c r="AL725">
        <v>31.923393999999998</v>
      </c>
      <c r="AM725" t="s">
        <v>506</v>
      </c>
      <c r="AN725">
        <v>-101.033406</v>
      </c>
      <c r="AQ725" t="s">
        <v>129</v>
      </c>
      <c r="AR725">
        <v>85</v>
      </c>
      <c r="AS725">
        <v>-5</v>
      </c>
      <c r="AT725">
        <v>64</v>
      </c>
      <c r="BB725" t="str">
        <f t="shared" si="85"/>
        <v>1200</v>
      </c>
      <c r="BC725">
        <v>1</v>
      </c>
      <c r="BD725" t="str">
        <f t="shared" si="86"/>
        <v xml:space="preserve">N745MB  </v>
      </c>
      <c r="BE725">
        <v>1</v>
      </c>
      <c r="BG725">
        <v>0</v>
      </c>
      <c r="BH725">
        <v>0</v>
      </c>
      <c r="BI725">
        <v>0</v>
      </c>
      <c r="BL725" t="s">
        <v>130</v>
      </c>
      <c r="BM725">
        <v>1</v>
      </c>
      <c r="BN725">
        <v>0</v>
      </c>
      <c r="BO725">
        <v>0</v>
      </c>
      <c r="BP725">
        <v>0</v>
      </c>
      <c r="BT725">
        <v>0</v>
      </c>
      <c r="BU725">
        <v>0</v>
      </c>
      <c r="CE725" t="str">
        <f>"20:24:29.016"</f>
        <v>20:24:29.016</v>
      </c>
      <c r="CF725">
        <v>16309543</v>
      </c>
      <c r="CS725">
        <v>0</v>
      </c>
      <c r="CT725">
        <v>2</v>
      </c>
      <c r="CU725">
        <v>0</v>
      </c>
      <c r="CV725">
        <v>2</v>
      </c>
      <c r="CW725">
        <v>0</v>
      </c>
      <c r="CX725">
        <v>5</v>
      </c>
      <c r="CY725">
        <v>7</v>
      </c>
      <c r="CZ725" t="s">
        <v>131</v>
      </c>
      <c r="DA725">
        <v>116</v>
      </c>
      <c r="DB725">
        <v>3</v>
      </c>
      <c r="DC725" t="s">
        <v>132</v>
      </c>
      <c r="DD725" t="s">
        <v>133</v>
      </c>
      <c r="DG725">
        <v>8365025</v>
      </c>
      <c r="DI725">
        <v>0</v>
      </c>
      <c r="DJ725">
        <v>0</v>
      </c>
      <c r="DK725">
        <v>1</v>
      </c>
      <c r="DL725">
        <v>0</v>
      </c>
      <c r="DM725">
        <v>0</v>
      </c>
      <c r="DN725">
        <v>0</v>
      </c>
      <c r="DO725">
        <v>0</v>
      </c>
      <c r="DP725">
        <v>1</v>
      </c>
      <c r="DQ725">
        <v>0</v>
      </c>
      <c r="DR725">
        <v>0</v>
      </c>
      <c r="DS725">
        <v>0</v>
      </c>
    </row>
    <row r="726" spans="1:123" x14ac:dyDescent="0.25">
      <c r="A726" t="str">
        <f>"11/29/2023 20:24:29.446"</f>
        <v>11/29/2023 20:24:29.446</v>
      </c>
      <c r="C726" t="str">
        <f t="shared" si="87"/>
        <v>FFDF53C0</v>
      </c>
      <c r="D726" t="s">
        <v>123</v>
      </c>
      <c r="E726">
        <v>1</v>
      </c>
      <c r="F726">
        <v>1001</v>
      </c>
      <c r="G726" t="s">
        <v>134</v>
      </c>
      <c r="J726" t="s">
        <v>125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"20:24:29.016"</f>
        <v>20:24:29.016</v>
      </c>
      <c r="T726" t="str">
        <f>"20:24:28.816"</f>
        <v>20:24:28.816</v>
      </c>
      <c r="U726" t="str">
        <f t="shared" si="84"/>
        <v>AA0632</v>
      </c>
      <c r="V726">
        <v>0</v>
      </c>
      <c r="W726">
        <v>0</v>
      </c>
      <c r="X726">
        <v>2</v>
      </c>
      <c r="Y726">
        <v>0</v>
      </c>
      <c r="AA726">
        <v>0</v>
      </c>
      <c r="AB726">
        <v>9</v>
      </c>
      <c r="AC726">
        <v>3</v>
      </c>
      <c r="AD726">
        <v>0</v>
      </c>
      <c r="AE726">
        <v>10</v>
      </c>
      <c r="AF726" t="s">
        <v>126</v>
      </c>
      <c r="AG726">
        <v>0</v>
      </c>
      <c r="AH726">
        <v>0</v>
      </c>
      <c r="AI726">
        <v>2</v>
      </c>
      <c r="AJ726">
        <v>0</v>
      </c>
      <c r="AK726" t="s">
        <v>505</v>
      </c>
      <c r="AL726">
        <v>31.923393999999998</v>
      </c>
      <c r="AM726" t="s">
        <v>506</v>
      </c>
      <c r="AN726">
        <v>-101.033406</v>
      </c>
      <c r="AQ726" t="s">
        <v>129</v>
      </c>
      <c r="AR726">
        <v>85</v>
      </c>
      <c r="AS726">
        <v>-5</v>
      </c>
      <c r="AT726">
        <v>64</v>
      </c>
      <c r="BB726" t="str">
        <f t="shared" si="85"/>
        <v>1200</v>
      </c>
      <c r="BC726">
        <v>1</v>
      </c>
      <c r="BD726" t="str">
        <f t="shared" si="86"/>
        <v xml:space="preserve">N745MB  </v>
      </c>
      <c r="BE726">
        <v>1</v>
      </c>
      <c r="BG726">
        <v>0</v>
      </c>
      <c r="BH726">
        <v>0</v>
      </c>
      <c r="BI726">
        <v>0</v>
      </c>
      <c r="BL726" t="s">
        <v>130</v>
      </c>
      <c r="BM726">
        <v>1</v>
      </c>
      <c r="BN726">
        <v>0</v>
      </c>
      <c r="BO726">
        <v>0</v>
      </c>
      <c r="BP726">
        <v>0</v>
      </c>
      <c r="BT726">
        <v>0</v>
      </c>
      <c r="BU726">
        <v>0</v>
      </c>
      <c r="CE726" t="str">
        <f>"20:24:29.016"</f>
        <v>20:24:29.016</v>
      </c>
      <c r="CF726">
        <v>16309543</v>
      </c>
      <c r="CS726">
        <v>0</v>
      </c>
      <c r="CT726">
        <v>2</v>
      </c>
      <c r="CU726">
        <v>0</v>
      </c>
      <c r="CV726">
        <v>2</v>
      </c>
      <c r="CW726">
        <v>0</v>
      </c>
      <c r="CX726">
        <v>5</v>
      </c>
      <c r="CY726">
        <v>7</v>
      </c>
      <c r="CZ726" t="s">
        <v>131</v>
      </c>
      <c r="DA726">
        <v>116</v>
      </c>
      <c r="DB726">
        <v>3</v>
      </c>
      <c r="DC726" t="s">
        <v>132</v>
      </c>
      <c r="DD726" t="s">
        <v>133</v>
      </c>
      <c r="DG726">
        <v>8365025</v>
      </c>
      <c r="DI726">
        <v>0</v>
      </c>
      <c r="DJ726">
        <v>0</v>
      </c>
      <c r="DK726">
        <v>1</v>
      </c>
      <c r="DL726">
        <v>0</v>
      </c>
      <c r="DM726">
        <v>0</v>
      </c>
      <c r="DN726">
        <v>0</v>
      </c>
      <c r="DO726">
        <v>0</v>
      </c>
      <c r="DP726">
        <v>1</v>
      </c>
      <c r="DQ726">
        <v>0</v>
      </c>
      <c r="DR726">
        <v>0</v>
      </c>
      <c r="DS726">
        <v>0</v>
      </c>
    </row>
    <row r="727" spans="1:123" x14ac:dyDescent="0.25">
      <c r="A727" t="str">
        <f>"11/29/2023 20:24:29.446"</f>
        <v>11/29/2023 20:24:29.446</v>
      </c>
      <c r="C727" t="str">
        <f t="shared" si="87"/>
        <v>FFDF53C0</v>
      </c>
      <c r="D727" t="s">
        <v>135</v>
      </c>
      <c r="E727">
        <v>31</v>
      </c>
      <c r="H727">
        <v>285</v>
      </c>
      <c r="I727" t="s">
        <v>136</v>
      </c>
      <c r="J727" t="s">
        <v>137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"20:24:29.016"</f>
        <v>20:24:29.016</v>
      </c>
      <c r="T727" t="str">
        <f>"20:24:28.816"</f>
        <v>20:24:28.816</v>
      </c>
      <c r="U727" t="str">
        <f t="shared" si="84"/>
        <v>AA0632</v>
      </c>
      <c r="V727">
        <v>0</v>
      </c>
      <c r="W727">
        <v>0</v>
      </c>
      <c r="X727">
        <v>2</v>
      </c>
      <c r="Y727">
        <v>0</v>
      </c>
      <c r="AA727">
        <v>0</v>
      </c>
      <c r="AB727">
        <v>9</v>
      </c>
      <c r="AC727">
        <v>3</v>
      </c>
      <c r="AD727">
        <v>0</v>
      </c>
      <c r="AE727">
        <v>10</v>
      </c>
      <c r="AF727" t="s">
        <v>126</v>
      </c>
      <c r="AG727">
        <v>0</v>
      </c>
      <c r="AH727">
        <v>0</v>
      </c>
      <c r="AI727">
        <v>2</v>
      </c>
      <c r="AJ727">
        <v>0</v>
      </c>
      <c r="AK727" t="s">
        <v>505</v>
      </c>
      <c r="AL727">
        <v>31.923393999999998</v>
      </c>
      <c r="AM727" t="s">
        <v>506</v>
      </c>
      <c r="AN727">
        <v>-101.033406</v>
      </c>
      <c r="AQ727" t="s">
        <v>129</v>
      </c>
      <c r="AR727">
        <v>85</v>
      </c>
      <c r="AS727">
        <v>-5</v>
      </c>
      <c r="AT727">
        <v>64</v>
      </c>
      <c r="BB727" t="str">
        <f t="shared" si="85"/>
        <v>1200</v>
      </c>
      <c r="BC727">
        <v>1</v>
      </c>
      <c r="BD727" t="str">
        <f t="shared" si="86"/>
        <v xml:space="preserve">N745MB  </v>
      </c>
      <c r="BE727">
        <v>1</v>
      </c>
      <c r="BG727">
        <v>0</v>
      </c>
      <c r="BH727">
        <v>0</v>
      </c>
      <c r="BI727">
        <v>0</v>
      </c>
      <c r="BL727" t="s">
        <v>130</v>
      </c>
      <c r="BM727">
        <v>1</v>
      </c>
      <c r="BN727">
        <v>0</v>
      </c>
      <c r="BO727">
        <v>0</v>
      </c>
      <c r="BP727">
        <v>0</v>
      </c>
      <c r="BT727">
        <v>0</v>
      </c>
      <c r="BU727">
        <v>0</v>
      </c>
      <c r="CE727" t="str">
        <f>"20:24:29.016"</f>
        <v>20:24:29.016</v>
      </c>
      <c r="CF727">
        <v>16309543</v>
      </c>
      <c r="CS727">
        <v>0</v>
      </c>
      <c r="CT727">
        <v>2</v>
      </c>
      <c r="CU727">
        <v>0</v>
      </c>
      <c r="CV727">
        <v>2</v>
      </c>
      <c r="CW727">
        <v>0</v>
      </c>
      <c r="CX727">
        <v>5</v>
      </c>
      <c r="CY727">
        <v>7</v>
      </c>
      <c r="CZ727" t="s">
        <v>131</v>
      </c>
      <c r="DA727">
        <v>116</v>
      </c>
      <c r="DB727">
        <v>3</v>
      </c>
      <c r="DC727" t="s">
        <v>132</v>
      </c>
      <c r="DD727" t="s">
        <v>133</v>
      </c>
      <c r="DG727">
        <v>8365025</v>
      </c>
      <c r="DI727">
        <v>0</v>
      </c>
      <c r="DJ727">
        <v>0</v>
      </c>
      <c r="DK727">
        <v>1</v>
      </c>
      <c r="DL727">
        <v>0</v>
      </c>
      <c r="DM727">
        <v>0</v>
      </c>
      <c r="DN727">
        <v>0</v>
      </c>
      <c r="DO727">
        <v>0</v>
      </c>
      <c r="DP727">
        <v>1</v>
      </c>
      <c r="DQ727">
        <v>0</v>
      </c>
      <c r="DR727">
        <v>0</v>
      </c>
      <c r="DS727">
        <v>0</v>
      </c>
    </row>
    <row r="728" spans="1:123" x14ac:dyDescent="0.25">
      <c r="A728" t="str">
        <f>"11/29/2023 20:24:30.696"</f>
        <v>11/29/2023 20:24:30.696</v>
      </c>
      <c r="C728" t="str">
        <f t="shared" si="87"/>
        <v>FFDF53C0</v>
      </c>
      <c r="D728" t="s">
        <v>138</v>
      </c>
      <c r="E728">
        <v>3</v>
      </c>
      <c r="H728">
        <v>160</v>
      </c>
      <c r="I728" t="s">
        <v>124</v>
      </c>
      <c r="J728" t="s">
        <v>139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 t="shared" ref="S728:T731" si="88">"20:24:30.359"</f>
        <v>20:24:30.359</v>
      </c>
      <c r="T728" t="str">
        <f t="shared" si="88"/>
        <v>20:24:30.359</v>
      </c>
      <c r="U728" t="str">
        <f t="shared" si="84"/>
        <v>AA0632</v>
      </c>
      <c r="V728">
        <v>0</v>
      </c>
      <c r="W728">
        <v>0</v>
      </c>
      <c r="X728">
        <v>2</v>
      </c>
      <c r="Y728">
        <v>0</v>
      </c>
      <c r="AA728">
        <v>0</v>
      </c>
      <c r="AB728">
        <v>9</v>
      </c>
      <c r="AC728">
        <v>3</v>
      </c>
      <c r="AD728">
        <v>0</v>
      </c>
      <c r="AE728">
        <v>10</v>
      </c>
      <c r="AF728" t="s">
        <v>126</v>
      </c>
      <c r="AG728">
        <v>0</v>
      </c>
      <c r="AH728">
        <v>0</v>
      </c>
      <c r="AI728">
        <v>2</v>
      </c>
      <c r="AJ728">
        <v>0</v>
      </c>
      <c r="AK728" t="s">
        <v>507</v>
      </c>
      <c r="AL728">
        <v>31.92333</v>
      </c>
      <c r="AM728" t="s">
        <v>508</v>
      </c>
      <c r="AN728">
        <v>-101.032805</v>
      </c>
      <c r="AQ728" t="s">
        <v>129</v>
      </c>
      <c r="AR728">
        <v>86</v>
      </c>
      <c r="AS728">
        <v>-5</v>
      </c>
      <c r="AT728">
        <v>-128</v>
      </c>
      <c r="BB728" t="str">
        <f t="shared" si="85"/>
        <v>1200</v>
      </c>
      <c r="BC728">
        <v>1</v>
      </c>
      <c r="BD728" t="str">
        <f t="shared" si="86"/>
        <v xml:space="preserve">N745MB  </v>
      </c>
      <c r="BE728">
        <v>1</v>
      </c>
      <c r="BG728">
        <v>0</v>
      </c>
      <c r="BH728">
        <v>0</v>
      </c>
      <c r="BI728">
        <v>0</v>
      </c>
      <c r="BL728" t="s">
        <v>130</v>
      </c>
      <c r="BM728">
        <v>1</v>
      </c>
      <c r="BN728">
        <v>0</v>
      </c>
      <c r="BO728">
        <v>0</v>
      </c>
      <c r="BP728">
        <v>0</v>
      </c>
      <c r="BT728">
        <v>0</v>
      </c>
      <c r="BU728">
        <v>0</v>
      </c>
      <c r="CE728" t="str">
        <f>"20:24:30.366"</f>
        <v>20:24:30.366</v>
      </c>
      <c r="CF728">
        <v>366221296</v>
      </c>
      <c r="CS728">
        <v>0</v>
      </c>
      <c r="CT728">
        <v>2</v>
      </c>
      <c r="CU728">
        <v>0</v>
      </c>
      <c r="CV728">
        <v>2</v>
      </c>
      <c r="CW728">
        <v>0</v>
      </c>
      <c r="CX728">
        <v>5</v>
      </c>
      <c r="CY728">
        <v>7</v>
      </c>
      <c r="CZ728" t="s">
        <v>131</v>
      </c>
      <c r="DA728">
        <v>116</v>
      </c>
      <c r="DB728">
        <v>3</v>
      </c>
      <c r="DC728" t="s">
        <v>132</v>
      </c>
      <c r="DD728" t="s">
        <v>133</v>
      </c>
      <c r="DG728">
        <v>8365724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1</v>
      </c>
      <c r="DQ728">
        <v>0</v>
      </c>
      <c r="DR728">
        <v>0</v>
      </c>
      <c r="DS728">
        <v>0</v>
      </c>
    </row>
    <row r="729" spans="1:123" x14ac:dyDescent="0.25">
      <c r="A729" t="str">
        <f>"11/29/2023 20:24:30.696"</f>
        <v>11/29/2023 20:24:30.696</v>
      </c>
      <c r="C729" t="str">
        <f t="shared" si="87"/>
        <v>FFDF53C0</v>
      </c>
      <c r="D729" t="s">
        <v>123</v>
      </c>
      <c r="E729">
        <v>14</v>
      </c>
      <c r="F729">
        <v>1014</v>
      </c>
      <c r="G729" t="s">
        <v>124</v>
      </c>
      <c r="J729" t="s">
        <v>125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 t="shared" si="88"/>
        <v>20:24:30.359</v>
      </c>
      <c r="T729" t="str">
        <f t="shared" si="88"/>
        <v>20:24:30.359</v>
      </c>
      <c r="U729" t="str">
        <f t="shared" si="84"/>
        <v>AA0632</v>
      </c>
      <c r="V729">
        <v>0</v>
      </c>
      <c r="W729">
        <v>0</v>
      </c>
      <c r="X729">
        <v>2</v>
      </c>
      <c r="Y729">
        <v>0</v>
      </c>
      <c r="AA729">
        <v>0</v>
      </c>
      <c r="AB729">
        <v>9</v>
      </c>
      <c r="AC729">
        <v>3</v>
      </c>
      <c r="AD729">
        <v>0</v>
      </c>
      <c r="AE729">
        <v>10</v>
      </c>
      <c r="AF729" t="s">
        <v>126</v>
      </c>
      <c r="AG729">
        <v>0</v>
      </c>
      <c r="AH729">
        <v>0</v>
      </c>
      <c r="AI729">
        <v>2</v>
      </c>
      <c r="AJ729">
        <v>0</v>
      </c>
      <c r="AK729" t="s">
        <v>507</v>
      </c>
      <c r="AL729">
        <v>31.92333</v>
      </c>
      <c r="AM729" t="s">
        <v>508</v>
      </c>
      <c r="AN729">
        <v>-101.032805</v>
      </c>
      <c r="AQ729" t="s">
        <v>129</v>
      </c>
      <c r="AR729">
        <v>86</v>
      </c>
      <c r="AS729">
        <v>-5</v>
      </c>
      <c r="AT729">
        <v>-128</v>
      </c>
      <c r="BB729" t="str">
        <f t="shared" si="85"/>
        <v>1200</v>
      </c>
      <c r="BC729">
        <v>1</v>
      </c>
      <c r="BD729" t="str">
        <f t="shared" si="86"/>
        <v xml:space="preserve">N745MB  </v>
      </c>
      <c r="BE729">
        <v>1</v>
      </c>
      <c r="BG729">
        <v>0</v>
      </c>
      <c r="BH729">
        <v>0</v>
      </c>
      <c r="BI729">
        <v>0</v>
      </c>
      <c r="BL729" t="s">
        <v>130</v>
      </c>
      <c r="BM729">
        <v>1</v>
      </c>
      <c r="BN729">
        <v>0</v>
      </c>
      <c r="BO729">
        <v>0</v>
      </c>
      <c r="BP729">
        <v>0</v>
      </c>
      <c r="BT729">
        <v>0</v>
      </c>
      <c r="BU729">
        <v>0</v>
      </c>
      <c r="CE729" t="str">
        <f>"20:24:30.366"</f>
        <v>20:24:30.366</v>
      </c>
      <c r="CF729">
        <v>366221296</v>
      </c>
      <c r="CS729">
        <v>0</v>
      </c>
      <c r="CT729">
        <v>2</v>
      </c>
      <c r="CU729">
        <v>0</v>
      </c>
      <c r="CV729">
        <v>2</v>
      </c>
      <c r="CW729">
        <v>0</v>
      </c>
      <c r="CX729">
        <v>5</v>
      </c>
      <c r="CY729">
        <v>7</v>
      </c>
      <c r="CZ729" t="s">
        <v>131</v>
      </c>
      <c r="DA729">
        <v>116</v>
      </c>
      <c r="DB729">
        <v>3</v>
      </c>
      <c r="DC729" t="s">
        <v>132</v>
      </c>
      <c r="DD729" t="s">
        <v>133</v>
      </c>
      <c r="DG729">
        <v>8365724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1</v>
      </c>
      <c r="DQ729">
        <v>0</v>
      </c>
      <c r="DR729">
        <v>0</v>
      </c>
      <c r="DS729">
        <v>0</v>
      </c>
    </row>
    <row r="730" spans="1:123" x14ac:dyDescent="0.25">
      <c r="A730" t="str">
        <f>"11/29/2023 20:24:30.696"</f>
        <v>11/29/2023 20:24:30.696</v>
      </c>
      <c r="C730" t="str">
        <f t="shared" si="87"/>
        <v>FFDF53C0</v>
      </c>
      <c r="D730" t="s">
        <v>123</v>
      </c>
      <c r="E730">
        <v>1</v>
      </c>
      <c r="F730">
        <v>1001</v>
      </c>
      <c r="G730" t="s">
        <v>134</v>
      </c>
      <c r="J730" t="s">
        <v>125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 t="shared" si="88"/>
        <v>20:24:30.359</v>
      </c>
      <c r="T730" t="str">
        <f t="shared" si="88"/>
        <v>20:24:30.359</v>
      </c>
      <c r="U730" t="str">
        <f t="shared" si="84"/>
        <v>AA0632</v>
      </c>
      <c r="V730">
        <v>0</v>
      </c>
      <c r="W730">
        <v>0</v>
      </c>
      <c r="X730">
        <v>2</v>
      </c>
      <c r="Y730">
        <v>0</v>
      </c>
      <c r="AA730">
        <v>0</v>
      </c>
      <c r="AB730">
        <v>9</v>
      </c>
      <c r="AC730">
        <v>3</v>
      </c>
      <c r="AD730">
        <v>0</v>
      </c>
      <c r="AE730">
        <v>10</v>
      </c>
      <c r="AF730" t="s">
        <v>126</v>
      </c>
      <c r="AG730">
        <v>0</v>
      </c>
      <c r="AH730">
        <v>0</v>
      </c>
      <c r="AI730">
        <v>2</v>
      </c>
      <c r="AJ730">
        <v>0</v>
      </c>
      <c r="AK730" t="s">
        <v>507</v>
      </c>
      <c r="AL730">
        <v>31.92333</v>
      </c>
      <c r="AM730" t="s">
        <v>508</v>
      </c>
      <c r="AN730">
        <v>-101.032805</v>
      </c>
      <c r="AQ730" t="s">
        <v>129</v>
      </c>
      <c r="AR730">
        <v>86</v>
      </c>
      <c r="AS730">
        <v>-5</v>
      </c>
      <c r="AT730">
        <v>-128</v>
      </c>
      <c r="BB730" t="str">
        <f t="shared" si="85"/>
        <v>1200</v>
      </c>
      <c r="BC730">
        <v>1</v>
      </c>
      <c r="BD730" t="str">
        <f t="shared" si="86"/>
        <v xml:space="preserve">N745MB  </v>
      </c>
      <c r="BE730">
        <v>1</v>
      </c>
      <c r="BG730">
        <v>0</v>
      </c>
      <c r="BH730">
        <v>0</v>
      </c>
      <c r="BI730">
        <v>0</v>
      </c>
      <c r="BL730" t="s">
        <v>130</v>
      </c>
      <c r="BM730">
        <v>1</v>
      </c>
      <c r="BN730">
        <v>0</v>
      </c>
      <c r="BO730">
        <v>0</v>
      </c>
      <c r="BP730">
        <v>0</v>
      </c>
      <c r="BT730">
        <v>0</v>
      </c>
      <c r="BU730">
        <v>0</v>
      </c>
      <c r="CE730" t="str">
        <f>"20:24:30.366"</f>
        <v>20:24:30.366</v>
      </c>
      <c r="CF730">
        <v>366221296</v>
      </c>
      <c r="CS730">
        <v>0</v>
      </c>
      <c r="CT730">
        <v>2</v>
      </c>
      <c r="CU730">
        <v>0</v>
      </c>
      <c r="CV730">
        <v>2</v>
      </c>
      <c r="CW730">
        <v>0</v>
      </c>
      <c r="CX730">
        <v>5</v>
      </c>
      <c r="CY730">
        <v>7</v>
      </c>
      <c r="CZ730" t="s">
        <v>131</v>
      </c>
      <c r="DA730">
        <v>116</v>
      </c>
      <c r="DB730">
        <v>3</v>
      </c>
      <c r="DC730" t="s">
        <v>132</v>
      </c>
      <c r="DD730" t="s">
        <v>133</v>
      </c>
      <c r="DG730">
        <v>8365724</v>
      </c>
      <c r="DI730">
        <v>0</v>
      </c>
      <c r="DJ730">
        <v>0</v>
      </c>
      <c r="DK730">
        <v>1</v>
      </c>
      <c r="DL730">
        <v>0</v>
      </c>
      <c r="DM730">
        <v>0</v>
      </c>
      <c r="DN730">
        <v>0</v>
      </c>
      <c r="DO730">
        <v>0</v>
      </c>
      <c r="DP730">
        <v>1</v>
      </c>
      <c r="DQ730">
        <v>0</v>
      </c>
      <c r="DR730">
        <v>0</v>
      </c>
      <c r="DS730">
        <v>0</v>
      </c>
    </row>
    <row r="731" spans="1:123" x14ac:dyDescent="0.25">
      <c r="A731" t="str">
        <f>"11/29/2023 20:24:30.696"</f>
        <v>11/29/2023 20:24:30.696</v>
      </c>
      <c r="C731" t="str">
        <f t="shared" si="87"/>
        <v>FFDF53C0</v>
      </c>
      <c r="D731" t="s">
        <v>135</v>
      </c>
      <c r="E731">
        <v>31</v>
      </c>
      <c r="H731">
        <v>285</v>
      </c>
      <c r="I731" t="s">
        <v>136</v>
      </c>
      <c r="J731" t="s">
        <v>137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 t="shared" si="88"/>
        <v>20:24:30.359</v>
      </c>
      <c r="T731" t="str">
        <f t="shared" si="88"/>
        <v>20:24:30.359</v>
      </c>
      <c r="U731" t="str">
        <f t="shared" si="84"/>
        <v>AA0632</v>
      </c>
      <c r="V731">
        <v>0</v>
      </c>
      <c r="W731">
        <v>0</v>
      </c>
      <c r="X731">
        <v>2</v>
      </c>
      <c r="Y731">
        <v>0</v>
      </c>
      <c r="AA731">
        <v>0</v>
      </c>
      <c r="AB731">
        <v>9</v>
      </c>
      <c r="AC731">
        <v>3</v>
      </c>
      <c r="AD731">
        <v>0</v>
      </c>
      <c r="AE731">
        <v>10</v>
      </c>
      <c r="AF731" t="s">
        <v>126</v>
      </c>
      <c r="AG731">
        <v>0</v>
      </c>
      <c r="AH731">
        <v>0</v>
      </c>
      <c r="AI731">
        <v>2</v>
      </c>
      <c r="AJ731">
        <v>0</v>
      </c>
      <c r="AK731" t="s">
        <v>507</v>
      </c>
      <c r="AL731">
        <v>31.92333</v>
      </c>
      <c r="AM731" t="s">
        <v>508</v>
      </c>
      <c r="AN731">
        <v>-101.032805</v>
      </c>
      <c r="AQ731" t="s">
        <v>129</v>
      </c>
      <c r="AR731">
        <v>86</v>
      </c>
      <c r="AS731">
        <v>-5</v>
      </c>
      <c r="AT731">
        <v>-128</v>
      </c>
      <c r="BB731" t="str">
        <f t="shared" si="85"/>
        <v>1200</v>
      </c>
      <c r="BC731">
        <v>1</v>
      </c>
      <c r="BD731" t="str">
        <f t="shared" si="86"/>
        <v xml:space="preserve">N745MB  </v>
      </c>
      <c r="BE731">
        <v>1</v>
      </c>
      <c r="BG731">
        <v>0</v>
      </c>
      <c r="BH731">
        <v>0</v>
      </c>
      <c r="BI731">
        <v>0</v>
      </c>
      <c r="BL731" t="s">
        <v>130</v>
      </c>
      <c r="BM731">
        <v>1</v>
      </c>
      <c r="BN731">
        <v>0</v>
      </c>
      <c r="BO731">
        <v>0</v>
      </c>
      <c r="BP731">
        <v>0</v>
      </c>
      <c r="BT731">
        <v>0</v>
      </c>
      <c r="BU731">
        <v>0</v>
      </c>
      <c r="CE731" t="str">
        <f>"20:24:30.366"</f>
        <v>20:24:30.366</v>
      </c>
      <c r="CF731">
        <v>366221296</v>
      </c>
      <c r="CS731">
        <v>0</v>
      </c>
      <c r="CT731">
        <v>2</v>
      </c>
      <c r="CU731">
        <v>0</v>
      </c>
      <c r="CV731">
        <v>2</v>
      </c>
      <c r="CW731">
        <v>0</v>
      </c>
      <c r="CX731">
        <v>5</v>
      </c>
      <c r="CY731">
        <v>7</v>
      </c>
      <c r="CZ731" t="s">
        <v>131</v>
      </c>
      <c r="DA731">
        <v>116</v>
      </c>
      <c r="DB731">
        <v>3</v>
      </c>
      <c r="DC731" t="s">
        <v>132</v>
      </c>
      <c r="DD731" t="s">
        <v>133</v>
      </c>
      <c r="DG731">
        <v>8365724</v>
      </c>
      <c r="DI731">
        <v>0</v>
      </c>
      <c r="DJ731">
        <v>0</v>
      </c>
      <c r="DK731">
        <v>1</v>
      </c>
      <c r="DL731">
        <v>0</v>
      </c>
      <c r="DM731">
        <v>0</v>
      </c>
      <c r="DN731">
        <v>0</v>
      </c>
      <c r="DO731">
        <v>0</v>
      </c>
      <c r="DP731">
        <v>1</v>
      </c>
      <c r="DQ731">
        <v>0</v>
      </c>
      <c r="DR731">
        <v>0</v>
      </c>
      <c r="DS731">
        <v>0</v>
      </c>
    </row>
    <row r="732" spans="1:123" x14ac:dyDescent="0.25">
      <c r="A732" t="str">
        <f>"11/29/2023 20:24:31.930"</f>
        <v>11/29/2023 20:24:31.930</v>
      </c>
      <c r="C732" t="str">
        <f>"FFD353C0"</f>
        <v>FFD353C0</v>
      </c>
      <c r="D732" t="s">
        <v>138</v>
      </c>
      <c r="E732">
        <v>3</v>
      </c>
      <c r="H732">
        <v>160</v>
      </c>
      <c r="I732" t="s">
        <v>124</v>
      </c>
      <c r="J732" t="s">
        <v>139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"20:24:31.297"</f>
        <v>20:24:31.297</v>
      </c>
      <c r="T732" t="str">
        <f>"20:24:29.797"</f>
        <v>20:24:29.797</v>
      </c>
      <c r="U732" t="str">
        <f t="shared" si="84"/>
        <v>AA0632</v>
      </c>
      <c r="V732">
        <v>0</v>
      </c>
      <c r="W732">
        <v>0</v>
      </c>
      <c r="X732">
        <v>2</v>
      </c>
      <c r="Y732">
        <v>0</v>
      </c>
      <c r="AA732">
        <v>0</v>
      </c>
      <c r="AB732">
        <v>9</v>
      </c>
      <c r="AC732">
        <v>3</v>
      </c>
      <c r="AD732">
        <v>0</v>
      </c>
      <c r="AE732">
        <v>10</v>
      </c>
      <c r="AF732" t="s">
        <v>126</v>
      </c>
      <c r="AG732">
        <v>0</v>
      </c>
      <c r="AH732">
        <v>0</v>
      </c>
      <c r="AJ732">
        <v>0</v>
      </c>
      <c r="AK732" t="s">
        <v>507</v>
      </c>
      <c r="AL732">
        <v>31.92333</v>
      </c>
      <c r="AM732" t="s">
        <v>509</v>
      </c>
      <c r="AN732">
        <v>-101.032355</v>
      </c>
      <c r="AQ732" t="s">
        <v>129</v>
      </c>
      <c r="AR732">
        <v>86</v>
      </c>
      <c r="AS732">
        <v>-5</v>
      </c>
      <c r="AT732">
        <v>-64</v>
      </c>
      <c r="BB732" t="str">
        <f t="shared" si="85"/>
        <v>1200</v>
      </c>
      <c r="BC732">
        <v>1</v>
      </c>
      <c r="BG732">
        <v>0</v>
      </c>
      <c r="BH732">
        <v>0</v>
      </c>
      <c r="BI732">
        <v>0</v>
      </c>
      <c r="BL732" t="s">
        <v>130</v>
      </c>
      <c r="BM732">
        <v>1</v>
      </c>
      <c r="BN732">
        <v>0</v>
      </c>
      <c r="BO732">
        <v>0</v>
      </c>
      <c r="BP732">
        <v>0</v>
      </c>
      <c r="BT732">
        <v>0</v>
      </c>
      <c r="BU732">
        <v>0</v>
      </c>
      <c r="CE732" t="str">
        <f>"20:24:31.304"</f>
        <v>20:24:31.304</v>
      </c>
      <c r="CF732">
        <v>304171531</v>
      </c>
      <c r="CS732">
        <v>0</v>
      </c>
      <c r="CT732">
        <v>2</v>
      </c>
      <c r="CU732">
        <v>0</v>
      </c>
      <c r="CV732">
        <v>2</v>
      </c>
      <c r="CW732">
        <v>0</v>
      </c>
      <c r="CX732">
        <v>2</v>
      </c>
      <c r="CY732">
        <v>7</v>
      </c>
      <c r="CZ732" t="s">
        <v>131</v>
      </c>
      <c r="DA732">
        <v>483</v>
      </c>
      <c r="DB732">
        <v>0</v>
      </c>
      <c r="DC732" t="s">
        <v>169</v>
      </c>
      <c r="DD732" t="s">
        <v>170</v>
      </c>
      <c r="DG732">
        <v>7364135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1</v>
      </c>
      <c r="DQ732">
        <v>0</v>
      </c>
      <c r="DR732">
        <v>0</v>
      </c>
      <c r="DS732">
        <v>1</v>
      </c>
    </row>
    <row r="733" spans="1:123" x14ac:dyDescent="0.25">
      <c r="A733" t="str">
        <f>"11/29/2023 20:24:45.461"</f>
        <v>11/29/2023 20:24:45.461</v>
      </c>
      <c r="C733" t="str">
        <f t="shared" ref="C733:C748" si="89">"FFDF53C0"</f>
        <v>FFDF53C0</v>
      </c>
      <c r="D733" t="s">
        <v>123</v>
      </c>
      <c r="E733">
        <v>14</v>
      </c>
      <c r="F733">
        <v>1014</v>
      </c>
      <c r="G733" t="s">
        <v>124</v>
      </c>
      <c r="J733" t="s">
        <v>125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"20:24:45.164"</f>
        <v>20:24:45.164</v>
      </c>
      <c r="T733" t="str">
        <f>"20:24:45.064"</f>
        <v>20:24:45.064</v>
      </c>
      <c r="U733" t="str">
        <f t="shared" si="84"/>
        <v>AA0632</v>
      </c>
      <c r="V733">
        <v>0</v>
      </c>
      <c r="W733">
        <v>0</v>
      </c>
      <c r="X733">
        <v>2</v>
      </c>
      <c r="Y733">
        <v>0</v>
      </c>
      <c r="AA733">
        <v>0</v>
      </c>
      <c r="AB733">
        <v>9</v>
      </c>
      <c r="AC733">
        <v>3</v>
      </c>
      <c r="AD733">
        <v>0</v>
      </c>
      <c r="AE733">
        <v>10</v>
      </c>
      <c r="AF733" t="s">
        <v>126</v>
      </c>
      <c r="AG733">
        <v>0</v>
      </c>
      <c r="AH733">
        <v>0</v>
      </c>
      <c r="AI733">
        <v>2</v>
      </c>
      <c r="AJ733">
        <v>0</v>
      </c>
      <c r="AK733" t="s">
        <v>510</v>
      </c>
      <c r="AL733">
        <v>31.922922</v>
      </c>
      <c r="AM733" t="s">
        <v>511</v>
      </c>
      <c r="AN733">
        <v>-101.025445</v>
      </c>
      <c r="AQ733" t="s">
        <v>129</v>
      </c>
      <c r="AR733">
        <v>92</v>
      </c>
      <c r="AS733">
        <v>-9</v>
      </c>
      <c r="AT733">
        <v>0</v>
      </c>
      <c r="BB733" t="str">
        <f t="shared" si="85"/>
        <v>1200</v>
      </c>
      <c r="BC733">
        <v>1</v>
      </c>
      <c r="BD733" t="str">
        <f t="shared" ref="BD733:BD748" si="90">"N745MB  "</f>
        <v xml:space="preserve">N745MB  </v>
      </c>
      <c r="BE733">
        <v>1</v>
      </c>
      <c r="BG733">
        <v>0</v>
      </c>
      <c r="BH733">
        <v>0</v>
      </c>
      <c r="BI733">
        <v>0</v>
      </c>
      <c r="BL733" t="s">
        <v>130</v>
      </c>
      <c r="BM733">
        <v>1</v>
      </c>
      <c r="BN733">
        <v>0</v>
      </c>
      <c r="BO733">
        <v>0</v>
      </c>
      <c r="BP733">
        <v>0</v>
      </c>
      <c r="BT733">
        <v>0</v>
      </c>
      <c r="BU733">
        <v>0</v>
      </c>
      <c r="CE733" t="str">
        <f>"20:24:45.171"</f>
        <v>20:24:45.171</v>
      </c>
      <c r="CF733">
        <v>171224084</v>
      </c>
      <c r="CS733">
        <v>0</v>
      </c>
      <c r="CT733">
        <v>2</v>
      </c>
      <c r="CU733">
        <v>0</v>
      </c>
      <c r="CV733">
        <v>2</v>
      </c>
      <c r="CW733">
        <v>0</v>
      </c>
      <c r="CX733">
        <v>4</v>
      </c>
      <c r="CY733">
        <v>7</v>
      </c>
      <c r="CZ733" t="s">
        <v>131</v>
      </c>
      <c r="DA733">
        <v>116</v>
      </c>
      <c r="DB733">
        <v>3</v>
      </c>
      <c r="DC733" t="s">
        <v>132</v>
      </c>
      <c r="DD733" t="s">
        <v>133</v>
      </c>
      <c r="DG733">
        <v>8373642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1</v>
      </c>
      <c r="DQ733">
        <v>0</v>
      </c>
      <c r="DR733">
        <v>0</v>
      </c>
      <c r="DS733">
        <v>0</v>
      </c>
    </row>
    <row r="734" spans="1:123" x14ac:dyDescent="0.25">
      <c r="A734" t="str">
        <f>"11/29/2023 20:24:45.461"</f>
        <v>11/29/2023 20:24:45.461</v>
      </c>
      <c r="C734" t="str">
        <f t="shared" si="89"/>
        <v>FFDF53C0</v>
      </c>
      <c r="D734" t="s">
        <v>135</v>
      </c>
      <c r="E734">
        <v>31</v>
      </c>
      <c r="H734">
        <v>285</v>
      </c>
      <c r="I734" t="s">
        <v>136</v>
      </c>
      <c r="J734" t="s">
        <v>137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"20:24:45.164"</f>
        <v>20:24:45.164</v>
      </c>
      <c r="T734" t="str">
        <f>"20:24:45.064"</f>
        <v>20:24:45.064</v>
      </c>
      <c r="U734" t="str">
        <f t="shared" si="84"/>
        <v>AA0632</v>
      </c>
      <c r="V734">
        <v>0</v>
      </c>
      <c r="W734">
        <v>0</v>
      </c>
      <c r="X734">
        <v>2</v>
      </c>
      <c r="Y734">
        <v>0</v>
      </c>
      <c r="AA734">
        <v>0</v>
      </c>
      <c r="AB734">
        <v>9</v>
      </c>
      <c r="AC734">
        <v>3</v>
      </c>
      <c r="AD734">
        <v>0</v>
      </c>
      <c r="AE734">
        <v>10</v>
      </c>
      <c r="AF734" t="s">
        <v>126</v>
      </c>
      <c r="AG734">
        <v>0</v>
      </c>
      <c r="AH734">
        <v>0</v>
      </c>
      <c r="AI734">
        <v>2</v>
      </c>
      <c r="AJ734">
        <v>0</v>
      </c>
      <c r="AK734" t="s">
        <v>510</v>
      </c>
      <c r="AL734">
        <v>31.922922</v>
      </c>
      <c r="AM734" t="s">
        <v>511</v>
      </c>
      <c r="AN734">
        <v>-101.025445</v>
      </c>
      <c r="AQ734" t="s">
        <v>129</v>
      </c>
      <c r="AR734">
        <v>92</v>
      </c>
      <c r="AS734">
        <v>-9</v>
      </c>
      <c r="AT734">
        <v>0</v>
      </c>
      <c r="BB734" t="str">
        <f t="shared" si="85"/>
        <v>1200</v>
      </c>
      <c r="BC734">
        <v>1</v>
      </c>
      <c r="BD734" t="str">
        <f t="shared" si="90"/>
        <v xml:space="preserve">N745MB  </v>
      </c>
      <c r="BE734">
        <v>1</v>
      </c>
      <c r="BG734">
        <v>0</v>
      </c>
      <c r="BH734">
        <v>0</v>
      </c>
      <c r="BI734">
        <v>0</v>
      </c>
      <c r="BL734" t="s">
        <v>130</v>
      </c>
      <c r="BM734">
        <v>1</v>
      </c>
      <c r="BN734">
        <v>0</v>
      </c>
      <c r="BO734">
        <v>0</v>
      </c>
      <c r="BP734">
        <v>0</v>
      </c>
      <c r="BT734">
        <v>0</v>
      </c>
      <c r="BU734">
        <v>0</v>
      </c>
      <c r="CE734" t="str">
        <f>"20:24:45.171"</f>
        <v>20:24:45.171</v>
      </c>
      <c r="CF734">
        <v>171224084</v>
      </c>
      <c r="CS734">
        <v>0</v>
      </c>
      <c r="CT734">
        <v>2</v>
      </c>
      <c r="CU734">
        <v>0</v>
      </c>
      <c r="CV734">
        <v>2</v>
      </c>
      <c r="CW734">
        <v>0</v>
      </c>
      <c r="CX734">
        <v>4</v>
      </c>
      <c r="CY734">
        <v>7</v>
      </c>
      <c r="CZ734" t="s">
        <v>131</v>
      </c>
      <c r="DA734">
        <v>116</v>
      </c>
      <c r="DB734">
        <v>3</v>
      </c>
      <c r="DC734" t="s">
        <v>132</v>
      </c>
      <c r="DD734" t="s">
        <v>133</v>
      </c>
      <c r="DG734">
        <v>8373642</v>
      </c>
      <c r="DI734">
        <v>0</v>
      </c>
      <c r="DJ734">
        <v>0</v>
      </c>
      <c r="DK734">
        <v>1</v>
      </c>
      <c r="DL734">
        <v>0</v>
      </c>
      <c r="DM734">
        <v>0</v>
      </c>
      <c r="DN734">
        <v>0</v>
      </c>
      <c r="DO734">
        <v>0</v>
      </c>
      <c r="DP734">
        <v>1</v>
      </c>
      <c r="DQ734">
        <v>0</v>
      </c>
      <c r="DR734">
        <v>0</v>
      </c>
      <c r="DS734">
        <v>0</v>
      </c>
    </row>
    <row r="735" spans="1:123" x14ac:dyDescent="0.25">
      <c r="A735" t="str">
        <f>"11/29/2023 20:24:45.461"</f>
        <v>11/29/2023 20:24:45.461</v>
      </c>
      <c r="C735" t="str">
        <f t="shared" si="89"/>
        <v>FFDF53C0</v>
      </c>
      <c r="D735" t="s">
        <v>138</v>
      </c>
      <c r="E735">
        <v>3</v>
      </c>
      <c r="H735">
        <v>160</v>
      </c>
      <c r="I735" t="s">
        <v>124</v>
      </c>
      <c r="J735" t="s">
        <v>139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"20:24:45.164"</f>
        <v>20:24:45.164</v>
      </c>
      <c r="T735" t="str">
        <f>"20:24:45.064"</f>
        <v>20:24:45.064</v>
      </c>
      <c r="U735" t="str">
        <f t="shared" si="84"/>
        <v>AA0632</v>
      </c>
      <c r="V735">
        <v>0</v>
      </c>
      <c r="W735">
        <v>0</v>
      </c>
      <c r="X735">
        <v>2</v>
      </c>
      <c r="Y735">
        <v>0</v>
      </c>
      <c r="AA735">
        <v>0</v>
      </c>
      <c r="AB735">
        <v>9</v>
      </c>
      <c r="AC735">
        <v>3</v>
      </c>
      <c r="AD735">
        <v>0</v>
      </c>
      <c r="AE735">
        <v>10</v>
      </c>
      <c r="AF735" t="s">
        <v>126</v>
      </c>
      <c r="AG735">
        <v>0</v>
      </c>
      <c r="AH735">
        <v>0</v>
      </c>
      <c r="AI735">
        <v>2</v>
      </c>
      <c r="AJ735">
        <v>0</v>
      </c>
      <c r="AK735" t="s">
        <v>510</v>
      </c>
      <c r="AL735">
        <v>31.922922</v>
      </c>
      <c r="AM735" t="s">
        <v>511</v>
      </c>
      <c r="AN735">
        <v>-101.025445</v>
      </c>
      <c r="AQ735" t="s">
        <v>129</v>
      </c>
      <c r="AR735">
        <v>92</v>
      </c>
      <c r="AS735">
        <v>-9</v>
      </c>
      <c r="AT735">
        <v>0</v>
      </c>
      <c r="BB735" t="str">
        <f t="shared" si="85"/>
        <v>1200</v>
      </c>
      <c r="BC735">
        <v>1</v>
      </c>
      <c r="BD735" t="str">
        <f t="shared" si="90"/>
        <v xml:space="preserve">N745MB  </v>
      </c>
      <c r="BE735">
        <v>1</v>
      </c>
      <c r="BG735">
        <v>0</v>
      </c>
      <c r="BH735">
        <v>0</v>
      </c>
      <c r="BI735">
        <v>0</v>
      </c>
      <c r="BL735" t="s">
        <v>130</v>
      </c>
      <c r="BM735">
        <v>1</v>
      </c>
      <c r="BN735">
        <v>0</v>
      </c>
      <c r="BO735">
        <v>0</v>
      </c>
      <c r="BP735">
        <v>0</v>
      </c>
      <c r="BT735">
        <v>0</v>
      </c>
      <c r="BU735">
        <v>0</v>
      </c>
      <c r="CE735" t="str">
        <f>"20:24:45.171"</f>
        <v>20:24:45.171</v>
      </c>
      <c r="CF735">
        <v>171224084</v>
      </c>
      <c r="CS735">
        <v>0</v>
      </c>
      <c r="CT735">
        <v>2</v>
      </c>
      <c r="CU735">
        <v>0</v>
      </c>
      <c r="CV735">
        <v>2</v>
      </c>
      <c r="CW735">
        <v>0</v>
      </c>
      <c r="CX735">
        <v>4</v>
      </c>
      <c r="CY735">
        <v>7</v>
      </c>
      <c r="CZ735" t="s">
        <v>131</v>
      </c>
      <c r="DA735">
        <v>116</v>
      </c>
      <c r="DB735">
        <v>3</v>
      </c>
      <c r="DC735" t="s">
        <v>132</v>
      </c>
      <c r="DD735" t="s">
        <v>133</v>
      </c>
      <c r="DG735">
        <v>8373642</v>
      </c>
      <c r="DI735">
        <v>0</v>
      </c>
      <c r="DJ735">
        <v>0</v>
      </c>
      <c r="DK735">
        <v>1</v>
      </c>
      <c r="DL735">
        <v>0</v>
      </c>
      <c r="DM735">
        <v>0</v>
      </c>
      <c r="DN735">
        <v>0</v>
      </c>
      <c r="DO735">
        <v>0</v>
      </c>
      <c r="DP735">
        <v>1</v>
      </c>
      <c r="DQ735">
        <v>0</v>
      </c>
      <c r="DR735">
        <v>0</v>
      </c>
      <c r="DS735">
        <v>0</v>
      </c>
    </row>
    <row r="736" spans="1:123" x14ac:dyDescent="0.25">
      <c r="A736" t="str">
        <f>"11/29/2023 20:24:45.461"</f>
        <v>11/29/2023 20:24:45.461</v>
      </c>
      <c r="C736" t="str">
        <f t="shared" si="89"/>
        <v>FFDF53C0</v>
      </c>
      <c r="D736" t="s">
        <v>123</v>
      </c>
      <c r="E736">
        <v>1</v>
      </c>
      <c r="F736">
        <v>1001</v>
      </c>
      <c r="G736" t="s">
        <v>134</v>
      </c>
      <c r="J736" t="s">
        <v>125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"20:24:45.164"</f>
        <v>20:24:45.164</v>
      </c>
      <c r="T736" t="str">
        <f>"20:24:45.064"</f>
        <v>20:24:45.064</v>
      </c>
      <c r="U736" t="str">
        <f t="shared" si="84"/>
        <v>AA0632</v>
      </c>
      <c r="V736">
        <v>0</v>
      </c>
      <c r="W736">
        <v>0</v>
      </c>
      <c r="X736">
        <v>2</v>
      </c>
      <c r="Y736">
        <v>0</v>
      </c>
      <c r="AA736">
        <v>0</v>
      </c>
      <c r="AB736">
        <v>9</v>
      </c>
      <c r="AC736">
        <v>3</v>
      </c>
      <c r="AD736">
        <v>0</v>
      </c>
      <c r="AE736">
        <v>10</v>
      </c>
      <c r="AF736" t="s">
        <v>126</v>
      </c>
      <c r="AG736">
        <v>0</v>
      </c>
      <c r="AH736">
        <v>0</v>
      </c>
      <c r="AI736">
        <v>2</v>
      </c>
      <c r="AJ736">
        <v>0</v>
      </c>
      <c r="AK736" t="s">
        <v>510</v>
      </c>
      <c r="AL736">
        <v>31.922922</v>
      </c>
      <c r="AM736" t="s">
        <v>511</v>
      </c>
      <c r="AN736">
        <v>-101.025445</v>
      </c>
      <c r="AQ736" t="s">
        <v>129</v>
      </c>
      <c r="AR736">
        <v>92</v>
      </c>
      <c r="AS736">
        <v>-9</v>
      </c>
      <c r="AT736">
        <v>0</v>
      </c>
      <c r="BB736" t="str">
        <f t="shared" si="85"/>
        <v>1200</v>
      </c>
      <c r="BC736">
        <v>1</v>
      </c>
      <c r="BD736" t="str">
        <f t="shared" si="90"/>
        <v xml:space="preserve">N745MB  </v>
      </c>
      <c r="BE736">
        <v>1</v>
      </c>
      <c r="BG736">
        <v>0</v>
      </c>
      <c r="BH736">
        <v>0</v>
      </c>
      <c r="BI736">
        <v>0</v>
      </c>
      <c r="BL736" t="s">
        <v>130</v>
      </c>
      <c r="BM736">
        <v>1</v>
      </c>
      <c r="BN736">
        <v>0</v>
      </c>
      <c r="BO736">
        <v>0</v>
      </c>
      <c r="BP736">
        <v>0</v>
      </c>
      <c r="BT736">
        <v>0</v>
      </c>
      <c r="BU736">
        <v>0</v>
      </c>
      <c r="CE736" t="str">
        <f>"20:24:45.171"</f>
        <v>20:24:45.171</v>
      </c>
      <c r="CF736">
        <v>171224084</v>
      </c>
      <c r="CS736">
        <v>0</v>
      </c>
      <c r="CT736">
        <v>2</v>
      </c>
      <c r="CU736">
        <v>0</v>
      </c>
      <c r="CV736">
        <v>2</v>
      </c>
      <c r="CW736">
        <v>0</v>
      </c>
      <c r="CX736">
        <v>4</v>
      </c>
      <c r="CY736">
        <v>7</v>
      </c>
      <c r="CZ736" t="s">
        <v>131</v>
      </c>
      <c r="DA736">
        <v>116</v>
      </c>
      <c r="DB736">
        <v>3</v>
      </c>
      <c r="DC736" t="s">
        <v>132</v>
      </c>
      <c r="DD736" t="s">
        <v>133</v>
      </c>
      <c r="DG736">
        <v>8373642</v>
      </c>
      <c r="DI736">
        <v>0</v>
      </c>
      <c r="DJ736">
        <v>0</v>
      </c>
      <c r="DK736">
        <v>1</v>
      </c>
      <c r="DL736">
        <v>0</v>
      </c>
      <c r="DM736">
        <v>0</v>
      </c>
      <c r="DN736">
        <v>0</v>
      </c>
      <c r="DO736">
        <v>0</v>
      </c>
      <c r="DP736">
        <v>1</v>
      </c>
      <c r="DQ736">
        <v>0</v>
      </c>
      <c r="DR736">
        <v>0</v>
      </c>
      <c r="DS736">
        <v>0</v>
      </c>
    </row>
    <row r="737" spans="1:123" x14ac:dyDescent="0.25">
      <c r="A737" t="str">
        <f>"11/29/2023 20:24:46.993"</f>
        <v>11/29/2023 20:24:46.993</v>
      </c>
      <c r="C737" t="str">
        <f t="shared" si="89"/>
        <v>FFDF53C0</v>
      </c>
      <c r="D737" t="s">
        <v>138</v>
      </c>
      <c r="E737">
        <v>3</v>
      </c>
      <c r="H737">
        <v>160</v>
      </c>
      <c r="I737" t="s">
        <v>124</v>
      </c>
      <c r="J737" t="s">
        <v>139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"20:24:46.656"</f>
        <v>20:24:46.656</v>
      </c>
      <c r="T737" t="str">
        <f>"20:24:46.456"</f>
        <v>20:24:46.456</v>
      </c>
      <c r="U737" t="str">
        <f t="shared" si="84"/>
        <v>AA0632</v>
      </c>
      <c r="V737">
        <v>0</v>
      </c>
      <c r="W737">
        <v>0</v>
      </c>
      <c r="X737">
        <v>2</v>
      </c>
      <c r="Y737">
        <v>0</v>
      </c>
      <c r="AA737">
        <v>0</v>
      </c>
      <c r="AB737">
        <v>9</v>
      </c>
      <c r="AC737">
        <v>3</v>
      </c>
      <c r="AD737">
        <v>0</v>
      </c>
      <c r="AE737">
        <v>10</v>
      </c>
      <c r="AF737" t="s">
        <v>126</v>
      </c>
      <c r="AG737">
        <v>0</v>
      </c>
      <c r="AH737">
        <v>0</v>
      </c>
      <c r="AI737">
        <v>2</v>
      </c>
      <c r="AJ737">
        <v>0</v>
      </c>
      <c r="AK737" t="s">
        <v>512</v>
      </c>
      <c r="AL737">
        <v>31.922878999999998</v>
      </c>
      <c r="AM737" t="s">
        <v>513</v>
      </c>
      <c r="AN737">
        <v>-101.024716</v>
      </c>
      <c r="AQ737" t="s">
        <v>129</v>
      </c>
      <c r="AR737">
        <v>92</v>
      </c>
      <c r="AS737">
        <v>-9</v>
      </c>
      <c r="AT737">
        <v>-64</v>
      </c>
      <c r="BB737" t="str">
        <f t="shared" si="85"/>
        <v>1200</v>
      </c>
      <c r="BC737">
        <v>1</v>
      </c>
      <c r="BD737" t="str">
        <f t="shared" si="90"/>
        <v xml:space="preserve">N745MB  </v>
      </c>
      <c r="BE737">
        <v>1</v>
      </c>
      <c r="BG737">
        <v>0</v>
      </c>
      <c r="BH737">
        <v>0</v>
      </c>
      <c r="BI737">
        <v>0</v>
      </c>
      <c r="BL737" t="s">
        <v>130</v>
      </c>
      <c r="BM737">
        <v>1</v>
      </c>
      <c r="BN737">
        <v>0</v>
      </c>
      <c r="BO737">
        <v>0</v>
      </c>
      <c r="BP737">
        <v>0</v>
      </c>
      <c r="BT737">
        <v>0</v>
      </c>
      <c r="BU737">
        <v>0</v>
      </c>
      <c r="CE737" t="str">
        <f>"20:24:46.657"</f>
        <v>20:24:46.657</v>
      </c>
      <c r="CF737">
        <v>657124157</v>
      </c>
      <c r="CS737">
        <v>0</v>
      </c>
      <c r="CT737">
        <v>2</v>
      </c>
      <c r="CU737">
        <v>0</v>
      </c>
      <c r="CV737">
        <v>2</v>
      </c>
      <c r="CW737">
        <v>0</v>
      </c>
      <c r="CX737">
        <v>4</v>
      </c>
      <c r="CY737">
        <v>7</v>
      </c>
      <c r="CZ737" t="s">
        <v>131</v>
      </c>
      <c r="DA737">
        <v>116</v>
      </c>
      <c r="DB737">
        <v>3</v>
      </c>
      <c r="DC737" t="s">
        <v>132</v>
      </c>
      <c r="DD737" t="s">
        <v>133</v>
      </c>
      <c r="DG737">
        <v>8374421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1</v>
      </c>
      <c r="DQ737">
        <v>0</v>
      </c>
      <c r="DR737">
        <v>0</v>
      </c>
      <c r="DS737">
        <v>0</v>
      </c>
    </row>
    <row r="738" spans="1:123" x14ac:dyDescent="0.25">
      <c r="A738" t="str">
        <f>"11/29/2023 20:24:46.993"</f>
        <v>11/29/2023 20:24:46.993</v>
      </c>
      <c r="C738" t="str">
        <f t="shared" si="89"/>
        <v>FFDF53C0</v>
      </c>
      <c r="D738" t="s">
        <v>135</v>
      </c>
      <c r="E738">
        <v>31</v>
      </c>
      <c r="H738">
        <v>285</v>
      </c>
      <c r="I738" t="s">
        <v>136</v>
      </c>
      <c r="J738" t="s">
        <v>137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"20:24:46.656"</f>
        <v>20:24:46.656</v>
      </c>
      <c r="T738" t="str">
        <f>"20:24:46.456"</f>
        <v>20:24:46.456</v>
      </c>
      <c r="U738" t="str">
        <f t="shared" si="84"/>
        <v>AA0632</v>
      </c>
      <c r="V738">
        <v>0</v>
      </c>
      <c r="W738">
        <v>0</v>
      </c>
      <c r="X738">
        <v>2</v>
      </c>
      <c r="Y738">
        <v>0</v>
      </c>
      <c r="AA738">
        <v>0</v>
      </c>
      <c r="AB738">
        <v>9</v>
      </c>
      <c r="AC738">
        <v>3</v>
      </c>
      <c r="AD738">
        <v>0</v>
      </c>
      <c r="AE738">
        <v>10</v>
      </c>
      <c r="AF738" t="s">
        <v>126</v>
      </c>
      <c r="AG738">
        <v>0</v>
      </c>
      <c r="AH738">
        <v>0</v>
      </c>
      <c r="AI738">
        <v>2</v>
      </c>
      <c r="AJ738">
        <v>0</v>
      </c>
      <c r="AK738" t="s">
        <v>512</v>
      </c>
      <c r="AL738">
        <v>31.922878999999998</v>
      </c>
      <c r="AM738" t="s">
        <v>513</v>
      </c>
      <c r="AN738">
        <v>-101.024716</v>
      </c>
      <c r="AQ738" t="s">
        <v>129</v>
      </c>
      <c r="AR738">
        <v>92</v>
      </c>
      <c r="AS738">
        <v>-9</v>
      </c>
      <c r="AT738">
        <v>-64</v>
      </c>
      <c r="BB738" t="str">
        <f t="shared" si="85"/>
        <v>1200</v>
      </c>
      <c r="BC738">
        <v>1</v>
      </c>
      <c r="BD738" t="str">
        <f t="shared" si="90"/>
        <v xml:space="preserve">N745MB  </v>
      </c>
      <c r="BE738">
        <v>1</v>
      </c>
      <c r="BG738">
        <v>0</v>
      </c>
      <c r="BH738">
        <v>0</v>
      </c>
      <c r="BI738">
        <v>0</v>
      </c>
      <c r="BL738" t="s">
        <v>130</v>
      </c>
      <c r="BM738">
        <v>1</v>
      </c>
      <c r="BN738">
        <v>0</v>
      </c>
      <c r="BO738">
        <v>0</v>
      </c>
      <c r="BP738">
        <v>0</v>
      </c>
      <c r="BT738">
        <v>0</v>
      </c>
      <c r="BU738">
        <v>0</v>
      </c>
      <c r="CE738" t="str">
        <f>"20:24:46.657"</f>
        <v>20:24:46.657</v>
      </c>
      <c r="CF738">
        <v>657124157</v>
      </c>
      <c r="CS738">
        <v>0</v>
      </c>
      <c r="CT738">
        <v>2</v>
      </c>
      <c r="CU738">
        <v>0</v>
      </c>
      <c r="CV738">
        <v>2</v>
      </c>
      <c r="CW738">
        <v>0</v>
      </c>
      <c r="CX738">
        <v>4</v>
      </c>
      <c r="CY738">
        <v>7</v>
      </c>
      <c r="CZ738" t="s">
        <v>131</v>
      </c>
      <c r="DA738">
        <v>116</v>
      </c>
      <c r="DB738">
        <v>3</v>
      </c>
      <c r="DC738" t="s">
        <v>132</v>
      </c>
      <c r="DD738" t="s">
        <v>133</v>
      </c>
      <c r="DG738">
        <v>8374421</v>
      </c>
      <c r="DI738">
        <v>0</v>
      </c>
      <c r="DJ738">
        <v>0</v>
      </c>
      <c r="DK738">
        <v>1</v>
      </c>
      <c r="DL738">
        <v>0</v>
      </c>
      <c r="DM738">
        <v>0</v>
      </c>
      <c r="DN738">
        <v>0</v>
      </c>
      <c r="DO738">
        <v>0</v>
      </c>
      <c r="DP738">
        <v>1</v>
      </c>
      <c r="DQ738">
        <v>0</v>
      </c>
      <c r="DR738">
        <v>0</v>
      </c>
      <c r="DS738">
        <v>0</v>
      </c>
    </row>
    <row r="739" spans="1:123" x14ac:dyDescent="0.25">
      <c r="A739" t="str">
        <f>"11/29/2023 20:24:46.993"</f>
        <v>11/29/2023 20:24:46.993</v>
      </c>
      <c r="C739" t="str">
        <f t="shared" si="89"/>
        <v>FFDF53C0</v>
      </c>
      <c r="D739" t="s">
        <v>123</v>
      </c>
      <c r="E739">
        <v>1</v>
      </c>
      <c r="F739">
        <v>1001</v>
      </c>
      <c r="G739" t="s">
        <v>134</v>
      </c>
      <c r="J739" t="s">
        <v>125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"20:24:46.656"</f>
        <v>20:24:46.656</v>
      </c>
      <c r="T739" t="str">
        <f>"20:24:46.456"</f>
        <v>20:24:46.456</v>
      </c>
      <c r="U739" t="str">
        <f t="shared" si="84"/>
        <v>AA0632</v>
      </c>
      <c r="V739">
        <v>0</v>
      </c>
      <c r="W739">
        <v>0</v>
      </c>
      <c r="X739">
        <v>2</v>
      </c>
      <c r="Y739">
        <v>0</v>
      </c>
      <c r="AA739">
        <v>0</v>
      </c>
      <c r="AB739">
        <v>9</v>
      </c>
      <c r="AC739">
        <v>3</v>
      </c>
      <c r="AD739">
        <v>0</v>
      </c>
      <c r="AE739">
        <v>10</v>
      </c>
      <c r="AF739" t="s">
        <v>126</v>
      </c>
      <c r="AG739">
        <v>0</v>
      </c>
      <c r="AH739">
        <v>0</v>
      </c>
      <c r="AI739">
        <v>2</v>
      </c>
      <c r="AJ739">
        <v>0</v>
      </c>
      <c r="AK739" t="s">
        <v>512</v>
      </c>
      <c r="AL739">
        <v>31.922878999999998</v>
      </c>
      <c r="AM739" t="s">
        <v>513</v>
      </c>
      <c r="AN739">
        <v>-101.024716</v>
      </c>
      <c r="AQ739" t="s">
        <v>129</v>
      </c>
      <c r="AR739">
        <v>92</v>
      </c>
      <c r="AS739">
        <v>-9</v>
      </c>
      <c r="AT739">
        <v>-64</v>
      </c>
      <c r="BB739" t="str">
        <f t="shared" si="85"/>
        <v>1200</v>
      </c>
      <c r="BC739">
        <v>1</v>
      </c>
      <c r="BD739" t="str">
        <f t="shared" si="90"/>
        <v xml:space="preserve">N745MB  </v>
      </c>
      <c r="BE739">
        <v>1</v>
      </c>
      <c r="BG739">
        <v>0</v>
      </c>
      <c r="BH739">
        <v>0</v>
      </c>
      <c r="BI739">
        <v>0</v>
      </c>
      <c r="BL739" t="s">
        <v>130</v>
      </c>
      <c r="BM739">
        <v>1</v>
      </c>
      <c r="BN739">
        <v>0</v>
      </c>
      <c r="BO739">
        <v>0</v>
      </c>
      <c r="BP739">
        <v>0</v>
      </c>
      <c r="BT739">
        <v>0</v>
      </c>
      <c r="BU739">
        <v>0</v>
      </c>
      <c r="CE739" t="str">
        <f>"20:24:46.657"</f>
        <v>20:24:46.657</v>
      </c>
      <c r="CF739">
        <v>657124157</v>
      </c>
      <c r="CS739">
        <v>0</v>
      </c>
      <c r="CT739">
        <v>2</v>
      </c>
      <c r="CU739">
        <v>0</v>
      </c>
      <c r="CV739">
        <v>2</v>
      </c>
      <c r="CW739">
        <v>0</v>
      </c>
      <c r="CX739">
        <v>4</v>
      </c>
      <c r="CY739">
        <v>7</v>
      </c>
      <c r="CZ739" t="s">
        <v>131</v>
      </c>
      <c r="DA739">
        <v>116</v>
      </c>
      <c r="DB739">
        <v>3</v>
      </c>
      <c r="DC739" t="s">
        <v>132</v>
      </c>
      <c r="DD739" t="s">
        <v>133</v>
      </c>
      <c r="DG739">
        <v>8374421</v>
      </c>
      <c r="DI739">
        <v>0</v>
      </c>
      <c r="DJ739">
        <v>0</v>
      </c>
      <c r="DK739">
        <v>1</v>
      </c>
      <c r="DL739">
        <v>0</v>
      </c>
      <c r="DM739">
        <v>0</v>
      </c>
      <c r="DN739">
        <v>0</v>
      </c>
      <c r="DO739">
        <v>0</v>
      </c>
      <c r="DP739">
        <v>1</v>
      </c>
      <c r="DQ739">
        <v>0</v>
      </c>
      <c r="DR739">
        <v>0</v>
      </c>
      <c r="DS739">
        <v>0</v>
      </c>
    </row>
    <row r="740" spans="1:123" x14ac:dyDescent="0.25">
      <c r="A740" t="str">
        <f>"11/29/2023 20:24:46.993"</f>
        <v>11/29/2023 20:24:46.993</v>
      </c>
      <c r="C740" t="str">
        <f t="shared" si="89"/>
        <v>FFDF53C0</v>
      </c>
      <c r="D740" t="s">
        <v>123</v>
      </c>
      <c r="E740">
        <v>14</v>
      </c>
      <c r="F740">
        <v>1014</v>
      </c>
      <c r="G740" t="s">
        <v>124</v>
      </c>
      <c r="J740" t="s">
        <v>125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"20:24:46.656"</f>
        <v>20:24:46.656</v>
      </c>
      <c r="T740" t="str">
        <f>"20:24:46.456"</f>
        <v>20:24:46.456</v>
      </c>
      <c r="U740" t="str">
        <f t="shared" si="84"/>
        <v>AA0632</v>
      </c>
      <c r="V740">
        <v>0</v>
      </c>
      <c r="W740">
        <v>0</v>
      </c>
      <c r="X740">
        <v>2</v>
      </c>
      <c r="Y740">
        <v>0</v>
      </c>
      <c r="AA740">
        <v>0</v>
      </c>
      <c r="AB740">
        <v>9</v>
      </c>
      <c r="AC740">
        <v>3</v>
      </c>
      <c r="AD740">
        <v>0</v>
      </c>
      <c r="AE740">
        <v>10</v>
      </c>
      <c r="AF740" t="s">
        <v>126</v>
      </c>
      <c r="AG740">
        <v>0</v>
      </c>
      <c r="AH740">
        <v>0</v>
      </c>
      <c r="AI740">
        <v>2</v>
      </c>
      <c r="AJ740">
        <v>0</v>
      </c>
      <c r="AK740" t="s">
        <v>512</v>
      </c>
      <c r="AL740">
        <v>31.922878999999998</v>
      </c>
      <c r="AM740" t="s">
        <v>513</v>
      </c>
      <c r="AN740">
        <v>-101.024716</v>
      </c>
      <c r="AQ740" t="s">
        <v>129</v>
      </c>
      <c r="AR740">
        <v>92</v>
      </c>
      <c r="AS740">
        <v>-9</v>
      </c>
      <c r="AT740">
        <v>-64</v>
      </c>
      <c r="BB740" t="str">
        <f t="shared" si="85"/>
        <v>1200</v>
      </c>
      <c r="BC740">
        <v>1</v>
      </c>
      <c r="BD740" t="str">
        <f t="shared" si="90"/>
        <v xml:space="preserve">N745MB  </v>
      </c>
      <c r="BE740">
        <v>1</v>
      </c>
      <c r="BG740">
        <v>0</v>
      </c>
      <c r="BH740">
        <v>0</v>
      </c>
      <c r="BI740">
        <v>0</v>
      </c>
      <c r="BL740" t="s">
        <v>130</v>
      </c>
      <c r="BM740">
        <v>1</v>
      </c>
      <c r="BN740">
        <v>0</v>
      </c>
      <c r="BO740">
        <v>0</v>
      </c>
      <c r="BP740">
        <v>0</v>
      </c>
      <c r="BT740">
        <v>0</v>
      </c>
      <c r="BU740">
        <v>0</v>
      </c>
      <c r="CE740" t="str">
        <f>"20:24:46.657"</f>
        <v>20:24:46.657</v>
      </c>
      <c r="CF740">
        <v>657124157</v>
      </c>
      <c r="CS740">
        <v>0</v>
      </c>
      <c r="CT740">
        <v>2</v>
      </c>
      <c r="CU740">
        <v>0</v>
      </c>
      <c r="CV740">
        <v>2</v>
      </c>
      <c r="CW740">
        <v>0</v>
      </c>
      <c r="CX740">
        <v>4</v>
      </c>
      <c r="CY740">
        <v>7</v>
      </c>
      <c r="CZ740" t="s">
        <v>131</v>
      </c>
      <c r="DA740">
        <v>116</v>
      </c>
      <c r="DB740">
        <v>3</v>
      </c>
      <c r="DC740" t="s">
        <v>132</v>
      </c>
      <c r="DD740" t="s">
        <v>133</v>
      </c>
      <c r="DG740">
        <v>8374421</v>
      </c>
      <c r="DI740">
        <v>0</v>
      </c>
      <c r="DJ740">
        <v>0</v>
      </c>
      <c r="DK740">
        <v>1</v>
      </c>
      <c r="DL740">
        <v>0</v>
      </c>
      <c r="DM740">
        <v>0</v>
      </c>
      <c r="DN740">
        <v>0</v>
      </c>
      <c r="DO740">
        <v>0</v>
      </c>
      <c r="DP740">
        <v>1</v>
      </c>
      <c r="DQ740">
        <v>0</v>
      </c>
      <c r="DR740">
        <v>0</v>
      </c>
      <c r="DS740">
        <v>0</v>
      </c>
    </row>
    <row r="741" spans="1:123" x14ac:dyDescent="0.25">
      <c r="A741" t="str">
        <f>"11/29/2023 20:24:50.164"</f>
        <v>11/29/2023 20:24:50.164</v>
      </c>
      <c r="C741" t="str">
        <f t="shared" si="89"/>
        <v>FFDF53C0</v>
      </c>
      <c r="D741" t="s">
        <v>138</v>
      </c>
      <c r="E741">
        <v>3</v>
      </c>
      <c r="H741">
        <v>160</v>
      </c>
      <c r="I741" t="s">
        <v>124</v>
      </c>
      <c r="J741" t="s">
        <v>139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"20:24:49.719"</f>
        <v>20:24:49.719</v>
      </c>
      <c r="T741" t="str">
        <f>"20:24:49.319"</f>
        <v>20:24:49.319</v>
      </c>
      <c r="U741" t="str">
        <f t="shared" si="84"/>
        <v>AA0632</v>
      </c>
      <c r="V741">
        <v>0</v>
      </c>
      <c r="W741">
        <v>0</v>
      </c>
      <c r="X741">
        <v>2</v>
      </c>
      <c r="Y741">
        <v>0</v>
      </c>
      <c r="AA741">
        <v>0</v>
      </c>
      <c r="AB741">
        <v>9</v>
      </c>
      <c r="AC741">
        <v>3</v>
      </c>
      <c r="AD741">
        <v>0</v>
      </c>
      <c r="AE741">
        <v>10</v>
      </c>
      <c r="AF741" t="s">
        <v>126</v>
      </c>
      <c r="AG741">
        <v>0</v>
      </c>
      <c r="AH741">
        <v>0</v>
      </c>
      <c r="AI741">
        <v>2</v>
      </c>
      <c r="AJ741">
        <v>0</v>
      </c>
      <c r="AK741" t="s">
        <v>514</v>
      </c>
      <c r="AL741">
        <v>31.922729</v>
      </c>
      <c r="AM741" t="s">
        <v>515</v>
      </c>
      <c r="AN741">
        <v>-101.023149</v>
      </c>
      <c r="AQ741" t="s">
        <v>129</v>
      </c>
      <c r="AR741">
        <v>93</v>
      </c>
      <c r="AS741">
        <v>-8</v>
      </c>
      <c r="AT741">
        <v>-64</v>
      </c>
      <c r="BB741" t="str">
        <f t="shared" si="85"/>
        <v>1200</v>
      </c>
      <c r="BC741">
        <v>1</v>
      </c>
      <c r="BD741" t="str">
        <f t="shared" si="90"/>
        <v xml:space="preserve">N745MB  </v>
      </c>
      <c r="BE741">
        <v>1</v>
      </c>
      <c r="BG741">
        <v>0</v>
      </c>
      <c r="BH741">
        <v>0</v>
      </c>
      <c r="BI741">
        <v>0</v>
      </c>
      <c r="BL741" t="s">
        <v>130</v>
      </c>
      <c r="BM741">
        <v>1</v>
      </c>
      <c r="BN741">
        <v>0</v>
      </c>
      <c r="BO741">
        <v>0</v>
      </c>
      <c r="BP741">
        <v>0</v>
      </c>
      <c r="BT741">
        <v>0</v>
      </c>
      <c r="BU741">
        <v>0</v>
      </c>
      <c r="CE741" t="str">
        <f>"20:24:49.723"</f>
        <v>20:24:49.723</v>
      </c>
      <c r="CF741">
        <v>722918252</v>
      </c>
      <c r="CS741">
        <v>0</v>
      </c>
      <c r="CT741">
        <v>2</v>
      </c>
      <c r="CU741">
        <v>0</v>
      </c>
      <c r="CV741">
        <v>2</v>
      </c>
      <c r="CW741">
        <v>0</v>
      </c>
      <c r="CX741">
        <v>5</v>
      </c>
      <c r="CY741">
        <v>7</v>
      </c>
      <c r="CZ741" t="s">
        <v>131</v>
      </c>
      <c r="DA741">
        <v>116</v>
      </c>
      <c r="DB741">
        <v>3</v>
      </c>
      <c r="DC741" t="s">
        <v>132</v>
      </c>
      <c r="DD741" t="s">
        <v>133</v>
      </c>
      <c r="DG741">
        <v>8376137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1</v>
      </c>
      <c r="DQ741">
        <v>0</v>
      </c>
      <c r="DR741">
        <v>0</v>
      </c>
      <c r="DS741">
        <v>0</v>
      </c>
    </row>
    <row r="742" spans="1:123" x14ac:dyDescent="0.25">
      <c r="A742" t="str">
        <f>"11/29/2023 20:24:50.164"</f>
        <v>11/29/2023 20:24:50.164</v>
      </c>
      <c r="C742" t="str">
        <f t="shared" si="89"/>
        <v>FFDF53C0</v>
      </c>
      <c r="D742" t="s">
        <v>135</v>
      </c>
      <c r="E742">
        <v>31</v>
      </c>
      <c r="H742">
        <v>285</v>
      </c>
      <c r="I742" t="s">
        <v>136</v>
      </c>
      <c r="J742" t="s">
        <v>137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"20:24:49.719"</f>
        <v>20:24:49.719</v>
      </c>
      <c r="T742" t="str">
        <f>"20:24:49.319"</f>
        <v>20:24:49.319</v>
      </c>
      <c r="U742" t="str">
        <f t="shared" si="84"/>
        <v>AA0632</v>
      </c>
      <c r="V742">
        <v>0</v>
      </c>
      <c r="W742">
        <v>0</v>
      </c>
      <c r="X742">
        <v>2</v>
      </c>
      <c r="Y742">
        <v>0</v>
      </c>
      <c r="AA742">
        <v>0</v>
      </c>
      <c r="AB742">
        <v>9</v>
      </c>
      <c r="AC742">
        <v>3</v>
      </c>
      <c r="AD742">
        <v>0</v>
      </c>
      <c r="AE742">
        <v>10</v>
      </c>
      <c r="AF742" t="s">
        <v>126</v>
      </c>
      <c r="AG742">
        <v>0</v>
      </c>
      <c r="AH742">
        <v>0</v>
      </c>
      <c r="AI742">
        <v>2</v>
      </c>
      <c r="AJ742">
        <v>0</v>
      </c>
      <c r="AK742" t="s">
        <v>514</v>
      </c>
      <c r="AL742">
        <v>31.922729</v>
      </c>
      <c r="AM742" t="s">
        <v>515</v>
      </c>
      <c r="AN742">
        <v>-101.023149</v>
      </c>
      <c r="AQ742" t="s">
        <v>129</v>
      </c>
      <c r="AR742">
        <v>93</v>
      </c>
      <c r="AS742">
        <v>-8</v>
      </c>
      <c r="AT742">
        <v>-64</v>
      </c>
      <c r="BB742" t="str">
        <f t="shared" si="85"/>
        <v>1200</v>
      </c>
      <c r="BC742">
        <v>1</v>
      </c>
      <c r="BD742" t="str">
        <f t="shared" si="90"/>
        <v xml:space="preserve">N745MB  </v>
      </c>
      <c r="BE742">
        <v>1</v>
      </c>
      <c r="BG742">
        <v>0</v>
      </c>
      <c r="BH742">
        <v>0</v>
      </c>
      <c r="BI742">
        <v>0</v>
      </c>
      <c r="BL742" t="s">
        <v>130</v>
      </c>
      <c r="BM742">
        <v>1</v>
      </c>
      <c r="BN742">
        <v>0</v>
      </c>
      <c r="BO742">
        <v>0</v>
      </c>
      <c r="BP742">
        <v>0</v>
      </c>
      <c r="BT742">
        <v>0</v>
      </c>
      <c r="BU742">
        <v>0</v>
      </c>
      <c r="CE742" t="str">
        <f>"20:24:49.723"</f>
        <v>20:24:49.723</v>
      </c>
      <c r="CF742">
        <v>722918252</v>
      </c>
      <c r="CS742">
        <v>0</v>
      </c>
      <c r="CT742">
        <v>2</v>
      </c>
      <c r="CU742">
        <v>0</v>
      </c>
      <c r="CV742">
        <v>2</v>
      </c>
      <c r="CW742">
        <v>0</v>
      </c>
      <c r="CX742">
        <v>5</v>
      </c>
      <c r="CY742">
        <v>7</v>
      </c>
      <c r="CZ742" t="s">
        <v>131</v>
      </c>
      <c r="DA742">
        <v>116</v>
      </c>
      <c r="DB742">
        <v>3</v>
      </c>
      <c r="DC742" t="s">
        <v>132</v>
      </c>
      <c r="DD742" t="s">
        <v>133</v>
      </c>
      <c r="DG742">
        <v>8376137</v>
      </c>
      <c r="DI742">
        <v>0</v>
      </c>
      <c r="DJ742">
        <v>0</v>
      </c>
      <c r="DK742">
        <v>1</v>
      </c>
      <c r="DL742">
        <v>0</v>
      </c>
      <c r="DM742">
        <v>0</v>
      </c>
      <c r="DN742">
        <v>0</v>
      </c>
      <c r="DO742">
        <v>0</v>
      </c>
      <c r="DP742">
        <v>1</v>
      </c>
      <c r="DQ742">
        <v>0</v>
      </c>
      <c r="DR742">
        <v>0</v>
      </c>
      <c r="DS742">
        <v>0</v>
      </c>
    </row>
    <row r="743" spans="1:123" x14ac:dyDescent="0.25">
      <c r="A743" t="str">
        <f>"11/29/2023 20:24:50.164"</f>
        <v>11/29/2023 20:24:50.164</v>
      </c>
      <c r="C743" t="str">
        <f t="shared" si="89"/>
        <v>FFDF53C0</v>
      </c>
      <c r="D743" t="s">
        <v>123</v>
      </c>
      <c r="E743">
        <v>1</v>
      </c>
      <c r="F743">
        <v>1001</v>
      </c>
      <c r="G743" t="s">
        <v>134</v>
      </c>
      <c r="J743" t="s">
        <v>125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"20:24:49.719"</f>
        <v>20:24:49.719</v>
      </c>
      <c r="T743" t="str">
        <f>"20:24:49.319"</f>
        <v>20:24:49.319</v>
      </c>
      <c r="U743" t="str">
        <f t="shared" si="84"/>
        <v>AA0632</v>
      </c>
      <c r="V743">
        <v>0</v>
      </c>
      <c r="W743">
        <v>0</v>
      </c>
      <c r="X743">
        <v>2</v>
      </c>
      <c r="Y743">
        <v>0</v>
      </c>
      <c r="AA743">
        <v>0</v>
      </c>
      <c r="AB743">
        <v>9</v>
      </c>
      <c r="AC743">
        <v>3</v>
      </c>
      <c r="AD743">
        <v>0</v>
      </c>
      <c r="AE743">
        <v>10</v>
      </c>
      <c r="AF743" t="s">
        <v>126</v>
      </c>
      <c r="AG743">
        <v>0</v>
      </c>
      <c r="AH743">
        <v>0</v>
      </c>
      <c r="AI743">
        <v>2</v>
      </c>
      <c r="AJ743">
        <v>0</v>
      </c>
      <c r="AK743" t="s">
        <v>514</v>
      </c>
      <c r="AL743">
        <v>31.922729</v>
      </c>
      <c r="AM743" t="s">
        <v>515</v>
      </c>
      <c r="AN743">
        <v>-101.023149</v>
      </c>
      <c r="AQ743" t="s">
        <v>129</v>
      </c>
      <c r="AR743">
        <v>93</v>
      </c>
      <c r="AS743">
        <v>-8</v>
      </c>
      <c r="AT743">
        <v>-64</v>
      </c>
      <c r="BB743" t="str">
        <f t="shared" si="85"/>
        <v>1200</v>
      </c>
      <c r="BC743">
        <v>1</v>
      </c>
      <c r="BD743" t="str">
        <f t="shared" si="90"/>
        <v xml:space="preserve">N745MB  </v>
      </c>
      <c r="BE743">
        <v>1</v>
      </c>
      <c r="BG743">
        <v>0</v>
      </c>
      <c r="BH743">
        <v>0</v>
      </c>
      <c r="BI743">
        <v>0</v>
      </c>
      <c r="BL743" t="s">
        <v>130</v>
      </c>
      <c r="BM743">
        <v>1</v>
      </c>
      <c r="BN743">
        <v>0</v>
      </c>
      <c r="BO743">
        <v>0</v>
      </c>
      <c r="BP743">
        <v>0</v>
      </c>
      <c r="BT743">
        <v>0</v>
      </c>
      <c r="BU743">
        <v>0</v>
      </c>
      <c r="CE743" t="str">
        <f>"20:24:49.723"</f>
        <v>20:24:49.723</v>
      </c>
      <c r="CF743">
        <v>722918252</v>
      </c>
      <c r="CS743">
        <v>0</v>
      </c>
      <c r="CT743">
        <v>2</v>
      </c>
      <c r="CU743">
        <v>0</v>
      </c>
      <c r="CV743">
        <v>2</v>
      </c>
      <c r="CW743">
        <v>0</v>
      </c>
      <c r="CX743">
        <v>5</v>
      </c>
      <c r="CY743">
        <v>7</v>
      </c>
      <c r="CZ743" t="s">
        <v>131</v>
      </c>
      <c r="DA743">
        <v>116</v>
      </c>
      <c r="DB743">
        <v>3</v>
      </c>
      <c r="DC743" t="s">
        <v>132</v>
      </c>
      <c r="DD743" t="s">
        <v>133</v>
      </c>
      <c r="DG743">
        <v>8376137</v>
      </c>
      <c r="DI743">
        <v>0</v>
      </c>
      <c r="DJ743">
        <v>0</v>
      </c>
      <c r="DK743">
        <v>1</v>
      </c>
      <c r="DL743">
        <v>0</v>
      </c>
      <c r="DM743">
        <v>0</v>
      </c>
      <c r="DN743">
        <v>0</v>
      </c>
      <c r="DO743">
        <v>0</v>
      </c>
      <c r="DP743">
        <v>1</v>
      </c>
      <c r="DQ743">
        <v>0</v>
      </c>
      <c r="DR743">
        <v>0</v>
      </c>
      <c r="DS743">
        <v>0</v>
      </c>
    </row>
    <row r="744" spans="1:123" x14ac:dyDescent="0.25">
      <c r="A744" t="str">
        <f>"11/29/2023 20:24:50.164"</f>
        <v>11/29/2023 20:24:50.164</v>
      </c>
      <c r="C744" t="str">
        <f t="shared" si="89"/>
        <v>FFDF53C0</v>
      </c>
      <c r="D744" t="s">
        <v>123</v>
      </c>
      <c r="E744">
        <v>14</v>
      </c>
      <c r="F744">
        <v>1014</v>
      </c>
      <c r="G744" t="s">
        <v>124</v>
      </c>
      <c r="J744" t="s">
        <v>125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"20:24:49.719"</f>
        <v>20:24:49.719</v>
      </c>
      <c r="T744" t="str">
        <f>"20:24:49.319"</f>
        <v>20:24:49.319</v>
      </c>
      <c r="U744" t="str">
        <f t="shared" si="84"/>
        <v>AA0632</v>
      </c>
      <c r="V744">
        <v>0</v>
      </c>
      <c r="W744">
        <v>0</v>
      </c>
      <c r="X744">
        <v>2</v>
      </c>
      <c r="Y744">
        <v>0</v>
      </c>
      <c r="AA744">
        <v>0</v>
      </c>
      <c r="AB744">
        <v>9</v>
      </c>
      <c r="AC744">
        <v>3</v>
      </c>
      <c r="AD744">
        <v>0</v>
      </c>
      <c r="AE744">
        <v>10</v>
      </c>
      <c r="AF744" t="s">
        <v>126</v>
      </c>
      <c r="AG744">
        <v>0</v>
      </c>
      <c r="AH744">
        <v>0</v>
      </c>
      <c r="AI744">
        <v>2</v>
      </c>
      <c r="AJ744">
        <v>0</v>
      </c>
      <c r="AK744" t="s">
        <v>514</v>
      </c>
      <c r="AL744">
        <v>31.922729</v>
      </c>
      <c r="AM744" t="s">
        <v>515</v>
      </c>
      <c r="AN744">
        <v>-101.023149</v>
      </c>
      <c r="AQ744" t="s">
        <v>129</v>
      </c>
      <c r="AR744">
        <v>93</v>
      </c>
      <c r="AS744">
        <v>-8</v>
      </c>
      <c r="AT744">
        <v>-64</v>
      </c>
      <c r="BB744" t="str">
        <f t="shared" si="85"/>
        <v>1200</v>
      </c>
      <c r="BC744">
        <v>1</v>
      </c>
      <c r="BD744" t="str">
        <f t="shared" si="90"/>
        <v xml:space="preserve">N745MB  </v>
      </c>
      <c r="BE744">
        <v>1</v>
      </c>
      <c r="BG744">
        <v>0</v>
      </c>
      <c r="BH744">
        <v>0</v>
      </c>
      <c r="BI744">
        <v>0</v>
      </c>
      <c r="BL744" t="s">
        <v>130</v>
      </c>
      <c r="BM744">
        <v>1</v>
      </c>
      <c r="BN744">
        <v>0</v>
      </c>
      <c r="BO744">
        <v>0</v>
      </c>
      <c r="BP744">
        <v>0</v>
      </c>
      <c r="BT744">
        <v>0</v>
      </c>
      <c r="BU744">
        <v>0</v>
      </c>
      <c r="CE744" t="str">
        <f>"20:24:49.723"</f>
        <v>20:24:49.723</v>
      </c>
      <c r="CF744">
        <v>722918252</v>
      </c>
      <c r="CS744">
        <v>0</v>
      </c>
      <c r="CT744">
        <v>2</v>
      </c>
      <c r="CU744">
        <v>0</v>
      </c>
      <c r="CV744">
        <v>2</v>
      </c>
      <c r="CW744">
        <v>0</v>
      </c>
      <c r="CX744">
        <v>5</v>
      </c>
      <c r="CY744">
        <v>7</v>
      </c>
      <c r="CZ744" t="s">
        <v>131</v>
      </c>
      <c r="DA744">
        <v>116</v>
      </c>
      <c r="DB744">
        <v>3</v>
      </c>
      <c r="DC744" t="s">
        <v>132</v>
      </c>
      <c r="DD744" t="s">
        <v>133</v>
      </c>
      <c r="DG744">
        <v>8376137</v>
      </c>
      <c r="DI744">
        <v>0</v>
      </c>
      <c r="DJ744">
        <v>0</v>
      </c>
      <c r="DK744">
        <v>1</v>
      </c>
      <c r="DL744">
        <v>0</v>
      </c>
      <c r="DM744">
        <v>0</v>
      </c>
      <c r="DN744">
        <v>0</v>
      </c>
      <c r="DO744">
        <v>0</v>
      </c>
      <c r="DP744">
        <v>1</v>
      </c>
      <c r="DQ744">
        <v>0</v>
      </c>
      <c r="DR744">
        <v>0</v>
      </c>
      <c r="DS744">
        <v>0</v>
      </c>
    </row>
    <row r="745" spans="1:123" x14ac:dyDescent="0.25">
      <c r="A745" t="str">
        <f>"11/29/2023 20:24:51.555"</f>
        <v>11/29/2023 20:24:51.555</v>
      </c>
      <c r="C745" t="str">
        <f t="shared" si="89"/>
        <v>FFDF53C0</v>
      </c>
      <c r="D745" t="s">
        <v>138</v>
      </c>
      <c r="E745">
        <v>3</v>
      </c>
      <c r="H745">
        <v>160</v>
      </c>
      <c r="I745" t="s">
        <v>124</v>
      </c>
      <c r="J745" t="s">
        <v>139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"20:24:51.180"</f>
        <v>20:24:51.180</v>
      </c>
      <c r="T745" t="str">
        <f>"20:24:50.880"</f>
        <v>20:24:50.880</v>
      </c>
      <c r="U745" t="str">
        <f t="shared" si="84"/>
        <v>AA0632</v>
      </c>
      <c r="V745">
        <v>0</v>
      </c>
      <c r="W745">
        <v>0</v>
      </c>
      <c r="X745">
        <v>2</v>
      </c>
      <c r="Y745">
        <v>0</v>
      </c>
      <c r="AA745">
        <v>0</v>
      </c>
      <c r="AB745">
        <v>9</v>
      </c>
      <c r="AC745">
        <v>3</v>
      </c>
      <c r="AD745">
        <v>0</v>
      </c>
      <c r="AE745">
        <v>10</v>
      </c>
      <c r="AF745" t="s">
        <v>126</v>
      </c>
      <c r="AG745">
        <v>0</v>
      </c>
      <c r="AH745">
        <v>0</v>
      </c>
      <c r="AI745">
        <v>2</v>
      </c>
      <c r="AJ745">
        <v>0</v>
      </c>
      <c r="AK745" t="s">
        <v>516</v>
      </c>
      <c r="AL745">
        <v>31.922685999999999</v>
      </c>
      <c r="AM745" t="s">
        <v>517</v>
      </c>
      <c r="AN745">
        <v>-101.02237700000001</v>
      </c>
      <c r="AQ745" t="s">
        <v>129</v>
      </c>
      <c r="AR745">
        <v>93</v>
      </c>
      <c r="AS745">
        <v>-7</v>
      </c>
      <c r="AT745">
        <v>64</v>
      </c>
      <c r="BB745" t="str">
        <f t="shared" si="85"/>
        <v>1200</v>
      </c>
      <c r="BC745">
        <v>1</v>
      </c>
      <c r="BD745" t="str">
        <f t="shared" si="90"/>
        <v xml:space="preserve">N745MB  </v>
      </c>
      <c r="BE745">
        <v>1</v>
      </c>
      <c r="BG745">
        <v>0</v>
      </c>
      <c r="BH745">
        <v>0</v>
      </c>
      <c r="BI745">
        <v>0</v>
      </c>
      <c r="BL745" t="s">
        <v>130</v>
      </c>
      <c r="BM745">
        <v>1</v>
      </c>
      <c r="BN745">
        <v>0</v>
      </c>
      <c r="BO745">
        <v>0</v>
      </c>
      <c r="BP745">
        <v>0</v>
      </c>
      <c r="BT745">
        <v>0</v>
      </c>
      <c r="BU745">
        <v>0</v>
      </c>
      <c r="CE745" t="str">
        <f>"20:24:51.183"</f>
        <v>20:24:51.183</v>
      </c>
      <c r="CF745">
        <v>182820231</v>
      </c>
      <c r="CS745">
        <v>0</v>
      </c>
      <c r="CT745">
        <v>2</v>
      </c>
      <c r="CU745">
        <v>0</v>
      </c>
      <c r="CV745">
        <v>2</v>
      </c>
      <c r="CW745">
        <v>0</v>
      </c>
      <c r="CX745">
        <v>4</v>
      </c>
      <c r="CY745">
        <v>7</v>
      </c>
      <c r="CZ745" t="s">
        <v>131</v>
      </c>
      <c r="DA745">
        <v>116</v>
      </c>
      <c r="DB745">
        <v>3</v>
      </c>
      <c r="DC745" t="s">
        <v>132</v>
      </c>
      <c r="DD745" t="s">
        <v>133</v>
      </c>
      <c r="DG745">
        <v>8376934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1</v>
      </c>
      <c r="DQ745">
        <v>0</v>
      </c>
      <c r="DR745">
        <v>0</v>
      </c>
      <c r="DS745">
        <v>0</v>
      </c>
    </row>
    <row r="746" spans="1:123" x14ac:dyDescent="0.25">
      <c r="A746" t="str">
        <f>"11/29/2023 20:24:51.555"</f>
        <v>11/29/2023 20:24:51.555</v>
      </c>
      <c r="C746" t="str">
        <f t="shared" si="89"/>
        <v>FFDF53C0</v>
      </c>
      <c r="D746" t="s">
        <v>135</v>
      </c>
      <c r="E746">
        <v>31</v>
      </c>
      <c r="H746">
        <v>285</v>
      </c>
      <c r="I746" t="s">
        <v>136</v>
      </c>
      <c r="J746" t="s">
        <v>137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"20:24:51.180"</f>
        <v>20:24:51.180</v>
      </c>
      <c r="T746" t="str">
        <f>"20:24:50.880"</f>
        <v>20:24:50.880</v>
      </c>
      <c r="U746" t="str">
        <f t="shared" si="84"/>
        <v>AA0632</v>
      </c>
      <c r="V746">
        <v>0</v>
      </c>
      <c r="W746">
        <v>0</v>
      </c>
      <c r="X746">
        <v>2</v>
      </c>
      <c r="Y746">
        <v>0</v>
      </c>
      <c r="AA746">
        <v>0</v>
      </c>
      <c r="AB746">
        <v>9</v>
      </c>
      <c r="AC746">
        <v>3</v>
      </c>
      <c r="AD746">
        <v>0</v>
      </c>
      <c r="AE746">
        <v>10</v>
      </c>
      <c r="AF746" t="s">
        <v>126</v>
      </c>
      <c r="AG746">
        <v>0</v>
      </c>
      <c r="AH746">
        <v>0</v>
      </c>
      <c r="AI746">
        <v>2</v>
      </c>
      <c r="AJ746">
        <v>0</v>
      </c>
      <c r="AK746" t="s">
        <v>516</v>
      </c>
      <c r="AL746">
        <v>31.922685999999999</v>
      </c>
      <c r="AM746" t="s">
        <v>517</v>
      </c>
      <c r="AN746">
        <v>-101.02237700000001</v>
      </c>
      <c r="AQ746" t="s">
        <v>129</v>
      </c>
      <c r="AR746">
        <v>93</v>
      </c>
      <c r="AS746">
        <v>-7</v>
      </c>
      <c r="AT746">
        <v>64</v>
      </c>
      <c r="BB746" t="str">
        <f t="shared" si="85"/>
        <v>1200</v>
      </c>
      <c r="BC746">
        <v>1</v>
      </c>
      <c r="BD746" t="str">
        <f t="shared" si="90"/>
        <v xml:space="preserve">N745MB  </v>
      </c>
      <c r="BE746">
        <v>1</v>
      </c>
      <c r="BG746">
        <v>0</v>
      </c>
      <c r="BH746">
        <v>0</v>
      </c>
      <c r="BI746">
        <v>0</v>
      </c>
      <c r="BL746" t="s">
        <v>130</v>
      </c>
      <c r="BM746">
        <v>1</v>
      </c>
      <c r="BN746">
        <v>0</v>
      </c>
      <c r="BO746">
        <v>0</v>
      </c>
      <c r="BP746">
        <v>0</v>
      </c>
      <c r="BT746">
        <v>0</v>
      </c>
      <c r="BU746">
        <v>0</v>
      </c>
      <c r="CE746" t="str">
        <f>"20:24:51.183"</f>
        <v>20:24:51.183</v>
      </c>
      <c r="CF746">
        <v>182820231</v>
      </c>
      <c r="CS746">
        <v>0</v>
      </c>
      <c r="CT746">
        <v>2</v>
      </c>
      <c r="CU746">
        <v>0</v>
      </c>
      <c r="CV746">
        <v>2</v>
      </c>
      <c r="CW746">
        <v>0</v>
      </c>
      <c r="CX746">
        <v>4</v>
      </c>
      <c r="CY746">
        <v>7</v>
      </c>
      <c r="CZ746" t="s">
        <v>131</v>
      </c>
      <c r="DA746">
        <v>116</v>
      </c>
      <c r="DB746">
        <v>3</v>
      </c>
      <c r="DC746" t="s">
        <v>132</v>
      </c>
      <c r="DD746" t="s">
        <v>133</v>
      </c>
      <c r="DG746">
        <v>8376934</v>
      </c>
      <c r="DI746">
        <v>0</v>
      </c>
      <c r="DJ746">
        <v>0</v>
      </c>
      <c r="DK746">
        <v>1</v>
      </c>
      <c r="DL746">
        <v>0</v>
      </c>
      <c r="DM746">
        <v>0</v>
      </c>
      <c r="DN746">
        <v>0</v>
      </c>
      <c r="DO746">
        <v>0</v>
      </c>
      <c r="DP746">
        <v>1</v>
      </c>
      <c r="DQ746">
        <v>0</v>
      </c>
      <c r="DR746">
        <v>0</v>
      </c>
      <c r="DS746">
        <v>0</v>
      </c>
    </row>
    <row r="747" spans="1:123" x14ac:dyDescent="0.25">
      <c r="A747" t="str">
        <f>"11/29/2023 20:24:51.555"</f>
        <v>11/29/2023 20:24:51.555</v>
      </c>
      <c r="C747" t="str">
        <f t="shared" si="89"/>
        <v>FFDF53C0</v>
      </c>
      <c r="D747" t="s">
        <v>123</v>
      </c>
      <c r="E747">
        <v>1</v>
      </c>
      <c r="F747">
        <v>1001</v>
      </c>
      <c r="G747" t="s">
        <v>134</v>
      </c>
      <c r="J747" t="s">
        <v>125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"20:24:51.180"</f>
        <v>20:24:51.180</v>
      </c>
      <c r="T747" t="str">
        <f>"20:24:50.880"</f>
        <v>20:24:50.880</v>
      </c>
      <c r="U747" t="str">
        <f t="shared" si="84"/>
        <v>AA0632</v>
      </c>
      <c r="V747">
        <v>0</v>
      </c>
      <c r="W747">
        <v>0</v>
      </c>
      <c r="X747">
        <v>2</v>
      </c>
      <c r="Y747">
        <v>0</v>
      </c>
      <c r="AA747">
        <v>0</v>
      </c>
      <c r="AB747">
        <v>9</v>
      </c>
      <c r="AC747">
        <v>3</v>
      </c>
      <c r="AD747">
        <v>0</v>
      </c>
      <c r="AE747">
        <v>10</v>
      </c>
      <c r="AF747" t="s">
        <v>126</v>
      </c>
      <c r="AG747">
        <v>0</v>
      </c>
      <c r="AH747">
        <v>0</v>
      </c>
      <c r="AI747">
        <v>2</v>
      </c>
      <c r="AJ747">
        <v>0</v>
      </c>
      <c r="AK747" t="s">
        <v>516</v>
      </c>
      <c r="AL747">
        <v>31.922685999999999</v>
      </c>
      <c r="AM747" t="s">
        <v>517</v>
      </c>
      <c r="AN747">
        <v>-101.02237700000001</v>
      </c>
      <c r="AQ747" t="s">
        <v>129</v>
      </c>
      <c r="AR747">
        <v>93</v>
      </c>
      <c r="AS747">
        <v>-7</v>
      </c>
      <c r="AT747">
        <v>64</v>
      </c>
      <c r="BB747" t="str">
        <f t="shared" si="85"/>
        <v>1200</v>
      </c>
      <c r="BC747">
        <v>1</v>
      </c>
      <c r="BD747" t="str">
        <f t="shared" si="90"/>
        <v xml:space="preserve">N745MB  </v>
      </c>
      <c r="BE747">
        <v>1</v>
      </c>
      <c r="BG747">
        <v>0</v>
      </c>
      <c r="BH747">
        <v>0</v>
      </c>
      <c r="BI747">
        <v>0</v>
      </c>
      <c r="BL747" t="s">
        <v>130</v>
      </c>
      <c r="BM747">
        <v>1</v>
      </c>
      <c r="BN747">
        <v>0</v>
      </c>
      <c r="BO747">
        <v>0</v>
      </c>
      <c r="BP747">
        <v>0</v>
      </c>
      <c r="BT747">
        <v>0</v>
      </c>
      <c r="BU747">
        <v>0</v>
      </c>
      <c r="CE747" t="str">
        <f>"20:24:51.183"</f>
        <v>20:24:51.183</v>
      </c>
      <c r="CF747">
        <v>182820231</v>
      </c>
      <c r="CS747">
        <v>0</v>
      </c>
      <c r="CT747">
        <v>2</v>
      </c>
      <c r="CU747">
        <v>0</v>
      </c>
      <c r="CV747">
        <v>2</v>
      </c>
      <c r="CW747">
        <v>0</v>
      </c>
      <c r="CX747">
        <v>4</v>
      </c>
      <c r="CY747">
        <v>7</v>
      </c>
      <c r="CZ747" t="s">
        <v>131</v>
      </c>
      <c r="DA747">
        <v>116</v>
      </c>
      <c r="DB747">
        <v>3</v>
      </c>
      <c r="DC747" t="s">
        <v>132</v>
      </c>
      <c r="DD747" t="s">
        <v>133</v>
      </c>
      <c r="DG747">
        <v>8376934</v>
      </c>
      <c r="DI747">
        <v>0</v>
      </c>
      <c r="DJ747">
        <v>0</v>
      </c>
      <c r="DK747">
        <v>1</v>
      </c>
      <c r="DL747">
        <v>0</v>
      </c>
      <c r="DM747">
        <v>0</v>
      </c>
      <c r="DN747">
        <v>0</v>
      </c>
      <c r="DO747">
        <v>0</v>
      </c>
      <c r="DP747">
        <v>1</v>
      </c>
      <c r="DQ747">
        <v>0</v>
      </c>
      <c r="DR747">
        <v>0</v>
      </c>
      <c r="DS747">
        <v>0</v>
      </c>
    </row>
    <row r="748" spans="1:123" x14ac:dyDescent="0.25">
      <c r="A748" t="str">
        <f>"11/29/2023 20:24:51.555"</f>
        <v>11/29/2023 20:24:51.555</v>
      </c>
      <c r="C748" t="str">
        <f t="shared" si="89"/>
        <v>FFDF53C0</v>
      </c>
      <c r="D748" t="s">
        <v>123</v>
      </c>
      <c r="E748">
        <v>14</v>
      </c>
      <c r="F748">
        <v>1014</v>
      </c>
      <c r="G748" t="s">
        <v>124</v>
      </c>
      <c r="J748" t="s">
        <v>125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"20:24:51.180"</f>
        <v>20:24:51.180</v>
      </c>
      <c r="T748" t="str">
        <f>"20:24:50.880"</f>
        <v>20:24:50.880</v>
      </c>
      <c r="U748" t="str">
        <f t="shared" si="84"/>
        <v>AA0632</v>
      </c>
      <c r="V748">
        <v>0</v>
      </c>
      <c r="W748">
        <v>0</v>
      </c>
      <c r="X748">
        <v>2</v>
      </c>
      <c r="Y748">
        <v>0</v>
      </c>
      <c r="AA748">
        <v>0</v>
      </c>
      <c r="AB748">
        <v>9</v>
      </c>
      <c r="AC748">
        <v>3</v>
      </c>
      <c r="AD748">
        <v>0</v>
      </c>
      <c r="AE748">
        <v>10</v>
      </c>
      <c r="AF748" t="s">
        <v>126</v>
      </c>
      <c r="AG748">
        <v>0</v>
      </c>
      <c r="AH748">
        <v>0</v>
      </c>
      <c r="AI748">
        <v>2</v>
      </c>
      <c r="AJ748">
        <v>0</v>
      </c>
      <c r="AK748" t="s">
        <v>516</v>
      </c>
      <c r="AL748">
        <v>31.922685999999999</v>
      </c>
      <c r="AM748" t="s">
        <v>517</v>
      </c>
      <c r="AN748">
        <v>-101.02237700000001</v>
      </c>
      <c r="AQ748" t="s">
        <v>129</v>
      </c>
      <c r="AR748">
        <v>93</v>
      </c>
      <c r="AS748">
        <v>-7</v>
      </c>
      <c r="AT748">
        <v>64</v>
      </c>
      <c r="BB748" t="str">
        <f t="shared" si="85"/>
        <v>1200</v>
      </c>
      <c r="BC748">
        <v>1</v>
      </c>
      <c r="BD748" t="str">
        <f t="shared" si="90"/>
        <v xml:space="preserve">N745MB  </v>
      </c>
      <c r="BE748">
        <v>1</v>
      </c>
      <c r="BG748">
        <v>0</v>
      </c>
      <c r="BH748">
        <v>0</v>
      </c>
      <c r="BI748">
        <v>0</v>
      </c>
      <c r="BL748" t="s">
        <v>130</v>
      </c>
      <c r="BM748">
        <v>1</v>
      </c>
      <c r="BN748">
        <v>0</v>
      </c>
      <c r="BO748">
        <v>0</v>
      </c>
      <c r="BP748">
        <v>0</v>
      </c>
      <c r="BT748">
        <v>0</v>
      </c>
      <c r="BU748">
        <v>0</v>
      </c>
      <c r="CE748" t="str">
        <f>"20:24:51.183"</f>
        <v>20:24:51.183</v>
      </c>
      <c r="CF748">
        <v>182820231</v>
      </c>
      <c r="CS748">
        <v>0</v>
      </c>
      <c r="CT748">
        <v>2</v>
      </c>
      <c r="CU748">
        <v>0</v>
      </c>
      <c r="CV748">
        <v>2</v>
      </c>
      <c r="CW748">
        <v>0</v>
      </c>
      <c r="CX748">
        <v>4</v>
      </c>
      <c r="CY748">
        <v>7</v>
      </c>
      <c r="CZ748" t="s">
        <v>131</v>
      </c>
      <c r="DA748">
        <v>116</v>
      </c>
      <c r="DB748">
        <v>3</v>
      </c>
      <c r="DC748" t="s">
        <v>132</v>
      </c>
      <c r="DD748" t="s">
        <v>133</v>
      </c>
      <c r="DG748">
        <v>8376934</v>
      </c>
      <c r="DI748">
        <v>0</v>
      </c>
      <c r="DJ748">
        <v>0</v>
      </c>
      <c r="DK748">
        <v>1</v>
      </c>
      <c r="DL748">
        <v>0</v>
      </c>
      <c r="DM748">
        <v>0</v>
      </c>
      <c r="DN748">
        <v>0</v>
      </c>
      <c r="DO748">
        <v>0</v>
      </c>
      <c r="DP748">
        <v>1</v>
      </c>
      <c r="DQ748">
        <v>0</v>
      </c>
      <c r="DR748">
        <v>0</v>
      </c>
      <c r="DS748">
        <v>0</v>
      </c>
    </row>
    <row r="749" spans="1:123" x14ac:dyDescent="0.25">
      <c r="A749" t="str">
        <f>"11/29/2023 20:24:52.508"</f>
        <v>11/29/2023 20:24:52.508</v>
      </c>
      <c r="C749" t="str">
        <f>"FFD353C0"</f>
        <v>FFD353C0</v>
      </c>
      <c r="D749" t="s">
        <v>164</v>
      </c>
      <c r="E749">
        <v>24</v>
      </c>
      <c r="F749">
        <v>2024</v>
      </c>
      <c r="G749" t="s">
        <v>165</v>
      </c>
      <c r="J749" t="s">
        <v>166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"20:24:52.141"</f>
        <v>20:24:52.141</v>
      </c>
      <c r="T749" t="str">
        <f>"20:24:51.441"</f>
        <v>20:24:51.441</v>
      </c>
      <c r="U749" t="str">
        <f t="shared" si="84"/>
        <v>AA0632</v>
      </c>
      <c r="V749">
        <v>0</v>
      </c>
      <c r="W749">
        <v>0</v>
      </c>
      <c r="X749">
        <v>2</v>
      </c>
      <c r="Y749">
        <v>0</v>
      </c>
      <c r="AA749">
        <v>0</v>
      </c>
      <c r="AB749">
        <v>9</v>
      </c>
      <c r="AC749">
        <v>3</v>
      </c>
      <c r="AD749">
        <v>0</v>
      </c>
      <c r="AE749">
        <v>10</v>
      </c>
      <c r="AF749" t="s">
        <v>126</v>
      </c>
      <c r="AG749">
        <v>0</v>
      </c>
      <c r="AH749">
        <v>0</v>
      </c>
      <c r="AI749">
        <v>2</v>
      </c>
      <c r="AJ749">
        <v>0</v>
      </c>
      <c r="AK749" t="s">
        <v>516</v>
      </c>
      <c r="AL749">
        <v>31.922685999999999</v>
      </c>
      <c r="AM749" t="s">
        <v>518</v>
      </c>
      <c r="AN749">
        <v>-101.02192599999999</v>
      </c>
      <c r="AQ749" t="s">
        <v>129</v>
      </c>
      <c r="AR749">
        <v>93</v>
      </c>
      <c r="AS749">
        <v>-7</v>
      </c>
      <c r="AT749">
        <v>0</v>
      </c>
      <c r="BB749" t="str">
        <f t="shared" si="85"/>
        <v>1200</v>
      </c>
      <c r="BC749">
        <v>1</v>
      </c>
      <c r="BG749">
        <v>0</v>
      </c>
      <c r="BH749">
        <v>0</v>
      </c>
      <c r="BI749">
        <v>0</v>
      </c>
      <c r="BL749" t="s">
        <v>130</v>
      </c>
      <c r="BM749">
        <v>1</v>
      </c>
      <c r="BN749">
        <v>0</v>
      </c>
      <c r="BO749">
        <v>0</v>
      </c>
      <c r="BP749">
        <v>0</v>
      </c>
      <c r="BT749">
        <v>0</v>
      </c>
      <c r="BU749">
        <v>0</v>
      </c>
      <c r="CE749" t="str">
        <f>"20:24:52.141"</f>
        <v>20:24:52.141</v>
      </c>
      <c r="CF749">
        <v>140771843</v>
      </c>
      <c r="CS749">
        <v>0</v>
      </c>
      <c r="CT749">
        <v>2</v>
      </c>
      <c r="CU749">
        <v>0</v>
      </c>
      <c r="CV749">
        <v>2</v>
      </c>
      <c r="CW749">
        <v>0</v>
      </c>
      <c r="CX749">
        <v>2</v>
      </c>
      <c r="CY749">
        <v>7</v>
      </c>
      <c r="CZ749" t="s">
        <v>131</v>
      </c>
      <c r="DA749">
        <v>483</v>
      </c>
      <c r="DB749">
        <v>0</v>
      </c>
      <c r="DC749" t="s">
        <v>169</v>
      </c>
      <c r="DD749" t="s">
        <v>170</v>
      </c>
      <c r="DG749">
        <v>7367086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1</v>
      </c>
      <c r="DQ749">
        <v>0</v>
      </c>
      <c r="DR749">
        <v>0</v>
      </c>
      <c r="DS749">
        <v>1</v>
      </c>
    </row>
    <row r="750" spans="1:123" x14ac:dyDescent="0.25">
      <c r="A750" t="str">
        <f>"11/29/2023 20:24:52.555"</f>
        <v>11/29/2023 20:24:52.555</v>
      </c>
      <c r="C750" t="str">
        <f>"FFD353C0"</f>
        <v>FFD353C0</v>
      </c>
      <c r="D750" t="s">
        <v>138</v>
      </c>
      <c r="E750">
        <v>3</v>
      </c>
      <c r="H750">
        <v>160</v>
      </c>
      <c r="I750" t="s">
        <v>124</v>
      </c>
      <c r="J750" t="s">
        <v>139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"20:24:52.141"</f>
        <v>20:24:52.141</v>
      </c>
      <c r="T750" t="str">
        <f>"20:24:51.441"</f>
        <v>20:24:51.441</v>
      </c>
      <c r="U750" t="str">
        <f t="shared" si="84"/>
        <v>AA0632</v>
      </c>
      <c r="V750">
        <v>0</v>
      </c>
      <c r="W750">
        <v>0</v>
      </c>
      <c r="X750">
        <v>2</v>
      </c>
      <c r="Y750">
        <v>0</v>
      </c>
      <c r="AA750">
        <v>0</v>
      </c>
      <c r="AB750">
        <v>9</v>
      </c>
      <c r="AC750">
        <v>3</v>
      </c>
      <c r="AD750">
        <v>0</v>
      </c>
      <c r="AE750">
        <v>10</v>
      </c>
      <c r="AF750" t="s">
        <v>126</v>
      </c>
      <c r="AG750">
        <v>0</v>
      </c>
      <c r="AH750">
        <v>0</v>
      </c>
      <c r="AI750">
        <v>2</v>
      </c>
      <c r="AJ750">
        <v>0</v>
      </c>
      <c r="AK750" t="s">
        <v>516</v>
      </c>
      <c r="AL750">
        <v>31.922685999999999</v>
      </c>
      <c r="AM750" t="s">
        <v>518</v>
      </c>
      <c r="AN750">
        <v>-101.02192599999999</v>
      </c>
      <c r="AQ750" t="s">
        <v>129</v>
      </c>
      <c r="AR750">
        <v>93</v>
      </c>
      <c r="AS750">
        <v>-7</v>
      </c>
      <c r="AT750">
        <v>0</v>
      </c>
      <c r="BB750" t="str">
        <f t="shared" si="85"/>
        <v>1200</v>
      </c>
      <c r="BC750">
        <v>1</v>
      </c>
      <c r="BG750">
        <v>0</v>
      </c>
      <c r="BH750">
        <v>0</v>
      </c>
      <c r="BI750">
        <v>0</v>
      </c>
      <c r="BL750" t="s">
        <v>130</v>
      </c>
      <c r="BM750">
        <v>1</v>
      </c>
      <c r="BN750">
        <v>0</v>
      </c>
      <c r="BO750">
        <v>0</v>
      </c>
      <c r="BP750">
        <v>0</v>
      </c>
      <c r="BT750">
        <v>0</v>
      </c>
      <c r="BU750">
        <v>0</v>
      </c>
      <c r="CE750" t="str">
        <f>"20:24:52.141"</f>
        <v>20:24:52.141</v>
      </c>
      <c r="CF750">
        <v>140771843</v>
      </c>
      <c r="CS750">
        <v>0</v>
      </c>
      <c r="CT750">
        <v>2</v>
      </c>
      <c r="CU750">
        <v>0</v>
      </c>
      <c r="CV750">
        <v>2</v>
      </c>
      <c r="CW750">
        <v>0</v>
      </c>
      <c r="CX750">
        <v>2</v>
      </c>
      <c r="CY750">
        <v>7</v>
      </c>
      <c r="CZ750" t="s">
        <v>131</v>
      </c>
      <c r="DA750">
        <v>483</v>
      </c>
      <c r="DB750">
        <v>0</v>
      </c>
      <c r="DC750" t="s">
        <v>169</v>
      </c>
      <c r="DD750" t="s">
        <v>170</v>
      </c>
      <c r="DG750">
        <v>7367086</v>
      </c>
      <c r="DI750">
        <v>0</v>
      </c>
      <c r="DJ750">
        <v>0</v>
      </c>
      <c r="DK750">
        <v>1</v>
      </c>
      <c r="DL750">
        <v>0</v>
      </c>
      <c r="DM750">
        <v>0</v>
      </c>
      <c r="DN750">
        <v>0</v>
      </c>
      <c r="DO750">
        <v>0</v>
      </c>
      <c r="DP750">
        <v>1</v>
      </c>
      <c r="DQ750">
        <v>0</v>
      </c>
      <c r="DR750">
        <v>0</v>
      </c>
      <c r="DS750">
        <v>1</v>
      </c>
    </row>
    <row r="751" spans="1:123" x14ac:dyDescent="0.25">
      <c r="A751" t="str">
        <f>"11/29/2023 20:24:52.633"</f>
        <v>11/29/2023 20:24:52.633</v>
      </c>
      <c r="C751" t="str">
        <f>"FFD353C0"</f>
        <v>FFD353C0</v>
      </c>
      <c r="D751" t="s">
        <v>123</v>
      </c>
      <c r="E751">
        <v>14</v>
      </c>
      <c r="F751">
        <v>1014</v>
      </c>
      <c r="G751" t="s">
        <v>124</v>
      </c>
      <c r="J751" t="s">
        <v>125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"20:24:52.141"</f>
        <v>20:24:52.141</v>
      </c>
      <c r="T751" t="str">
        <f>"20:24:51.441"</f>
        <v>20:24:51.441</v>
      </c>
      <c r="U751" t="str">
        <f t="shared" si="84"/>
        <v>AA0632</v>
      </c>
      <c r="V751">
        <v>0</v>
      </c>
      <c r="W751">
        <v>0</v>
      </c>
      <c r="X751">
        <v>2</v>
      </c>
      <c r="Y751">
        <v>0</v>
      </c>
      <c r="AA751">
        <v>0</v>
      </c>
      <c r="AB751">
        <v>9</v>
      </c>
      <c r="AC751">
        <v>3</v>
      </c>
      <c r="AD751">
        <v>0</v>
      </c>
      <c r="AE751">
        <v>10</v>
      </c>
      <c r="AF751" t="s">
        <v>126</v>
      </c>
      <c r="AG751">
        <v>0</v>
      </c>
      <c r="AH751">
        <v>0</v>
      </c>
      <c r="AI751">
        <v>2</v>
      </c>
      <c r="AJ751">
        <v>0</v>
      </c>
      <c r="AK751" t="s">
        <v>516</v>
      </c>
      <c r="AL751">
        <v>31.922685999999999</v>
      </c>
      <c r="AM751" t="s">
        <v>518</v>
      </c>
      <c r="AN751">
        <v>-101.02192599999999</v>
      </c>
      <c r="AQ751" t="s">
        <v>129</v>
      </c>
      <c r="AR751">
        <v>93</v>
      </c>
      <c r="AS751">
        <v>-7</v>
      </c>
      <c r="AT751">
        <v>0</v>
      </c>
      <c r="BB751" t="str">
        <f t="shared" si="85"/>
        <v>1200</v>
      </c>
      <c r="BC751">
        <v>1</v>
      </c>
      <c r="BG751">
        <v>0</v>
      </c>
      <c r="BH751">
        <v>0</v>
      </c>
      <c r="BI751">
        <v>0</v>
      </c>
      <c r="BL751" t="s">
        <v>130</v>
      </c>
      <c r="BM751">
        <v>1</v>
      </c>
      <c r="BN751">
        <v>0</v>
      </c>
      <c r="BO751">
        <v>0</v>
      </c>
      <c r="BP751">
        <v>0</v>
      </c>
      <c r="BT751">
        <v>0</v>
      </c>
      <c r="BU751">
        <v>0</v>
      </c>
      <c r="CE751" t="str">
        <f>"20:24:52.141"</f>
        <v>20:24:52.141</v>
      </c>
      <c r="CF751">
        <v>140771843</v>
      </c>
      <c r="CS751">
        <v>0</v>
      </c>
      <c r="CT751">
        <v>2</v>
      </c>
      <c r="CU751">
        <v>0</v>
      </c>
      <c r="CV751">
        <v>2</v>
      </c>
      <c r="CW751">
        <v>0</v>
      </c>
      <c r="CX751">
        <v>2</v>
      </c>
      <c r="CY751">
        <v>7</v>
      </c>
      <c r="CZ751" t="s">
        <v>131</v>
      </c>
      <c r="DA751">
        <v>483</v>
      </c>
      <c r="DB751">
        <v>0</v>
      </c>
      <c r="DC751" t="s">
        <v>169</v>
      </c>
      <c r="DD751" t="s">
        <v>170</v>
      </c>
      <c r="DG751">
        <v>7367086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1</v>
      </c>
      <c r="DQ751">
        <v>0</v>
      </c>
      <c r="DR751">
        <v>0</v>
      </c>
      <c r="DS751">
        <v>1</v>
      </c>
    </row>
    <row r="752" spans="1:123" x14ac:dyDescent="0.25">
      <c r="A752" t="str">
        <f>"11/29/2023 20:24:54.446"</f>
        <v>11/29/2023 20:24:54.446</v>
      </c>
      <c r="C752" t="str">
        <f t="shared" ref="C752:C758" si="91">"FFDF53C0"</f>
        <v>FFDF53C0</v>
      </c>
      <c r="D752" t="s">
        <v>138</v>
      </c>
      <c r="E752">
        <v>3</v>
      </c>
      <c r="H752">
        <v>160</v>
      </c>
      <c r="I752" t="s">
        <v>124</v>
      </c>
      <c r="J752" t="s">
        <v>139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"20:24:54.016"</f>
        <v>20:24:54.016</v>
      </c>
      <c r="T752" t="str">
        <f>"20:24:53.516"</f>
        <v>20:24:53.516</v>
      </c>
      <c r="U752" t="str">
        <f t="shared" si="84"/>
        <v>AA0632</v>
      </c>
      <c r="V752">
        <v>0</v>
      </c>
      <c r="W752">
        <v>0</v>
      </c>
      <c r="X752">
        <v>2</v>
      </c>
      <c r="Y752">
        <v>0</v>
      </c>
      <c r="AA752">
        <v>0</v>
      </c>
      <c r="AB752">
        <v>9</v>
      </c>
      <c r="AC752">
        <v>3</v>
      </c>
      <c r="AD752">
        <v>0</v>
      </c>
      <c r="AE752">
        <v>10</v>
      </c>
      <c r="AF752" t="s">
        <v>126</v>
      </c>
      <c r="AG752">
        <v>0</v>
      </c>
      <c r="AH752">
        <v>0</v>
      </c>
      <c r="AI752">
        <v>2</v>
      </c>
      <c r="AJ752">
        <v>0</v>
      </c>
      <c r="AK752" t="s">
        <v>519</v>
      </c>
      <c r="AL752">
        <v>31.922599999999999</v>
      </c>
      <c r="AM752" t="s">
        <v>520</v>
      </c>
      <c r="AN752">
        <v>-101.020982</v>
      </c>
      <c r="AQ752" t="s">
        <v>129</v>
      </c>
      <c r="AR752">
        <v>92</v>
      </c>
      <c r="AS752">
        <v>-6</v>
      </c>
      <c r="AT752">
        <v>64</v>
      </c>
      <c r="BB752" t="str">
        <f t="shared" si="85"/>
        <v>1200</v>
      </c>
      <c r="BC752">
        <v>1</v>
      </c>
      <c r="BD752" t="str">
        <f t="shared" ref="BD752:BD758" si="92">"N745MB  "</f>
        <v xml:space="preserve">N745MB  </v>
      </c>
      <c r="BE752">
        <v>1</v>
      </c>
      <c r="BG752">
        <v>0</v>
      </c>
      <c r="BH752">
        <v>0</v>
      </c>
      <c r="BI752">
        <v>0</v>
      </c>
      <c r="BL752" t="s">
        <v>130</v>
      </c>
      <c r="BM752">
        <v>1</v>
      </c>
      <c r="BN752">
        <v>0</v>
      </c>
      <c r="BO752">
        <v>0</v>
      </c>
      <c r="BP752">
        <v>0</v>
      </c>
      <c r="BT752">
        <v>0</v>
      </c>
      <c r="BU752">
        <v>0</v>
      </c>
      <c r="CE752" t="str">
        <f>"20:24:54.019"</f>
        <v>20:24:54.019</v>
      </c>
      <c r="CF752">
        <v>18634217</v>
      </c>
      <c r="CS752">
        <v>0</v>
      </c>
      <c r="CT752">
        <v>2</v>
      </c>
      <c r="CU752">
        <v>0</v>
      </c>
      <c r="CV752">
        <v>2</v>
      </c>
      <c r="CW752">
        <v>0</v>
      </c>
      <c r="CX752">
        <v>5</v>
      </c>
      <c r="CY752">
        <v>7</v>
      </c>
      <c r="CZ752" t="s">
        <v>131</v>
      </c>
      <c r="DA752">
        <v>116</v>
      </c>
      <c r="DB752">
        <v>3</v>
      </c>
      <c r="DC752" t="s">
        <v>132</v>
      </c>
      <c r="DD752" t="s">
        <v>133</v>
      </c>
      <c r="DG752">
        <v>8378526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1</v>
      </c>
      <c r="DQ752">
        <v>0</v>
      </c>
      <c r="DR752">
        <v>0</v>
      </c>
      <c r="DS752">
        <v>0</v>
      </c>
    </row>
    <row r="753" spans="1:123" x14ac:dyDescent="0.25">
      <c r="A753" t="str">
        <f>"11/29/2023 20:24:54.446"</f>
        <v>11/29/2023 20:24:54.446</v>
      </c>
      <c r="C753" t="str">
        <f t="shared" si="91"/>
        <v>FFDF53C0</v>
      </c>
      <c r="D753" t="s">
        <v>135</v>
      </c>
      <c r="E753">
        <v>31</v>
      </c>
      <c r="H753">
        <v>285</v>
      </c>
      <c r="I753" t="s">
        <v>136</v>
      </c>
      <c r="J753" t="s">
        <v>137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"20:24:54.016"</f>
        <v>20:24:54.016</v>
      </c>
      <c r="T753" t="str">
        <f>"20:24:53.516"</f>
        <v>20:24:53.516</v>
      </c>
      <c r="U753" t="str">
        <f t="shared" si="84"/>
        <v>AA0632</v>
      </c>
      <c r="V753">
        <v>0</v>
      </c>
      <c r="W753">
        <v>0</v>
      </c>
      <c r="X753">
        <v>2</v>
      </c>
      <c r="Y753">
        <v>0</v>
      </c>
      <c r="AA753">
        <v>0</v>
      </c>
      <c r="AB753">
        <v>9</v>
      </c>
      <c r="AC753">
        <v>3</v>
      </c>
      <c r="AD753">
        <v>0</v>
      </c>
      <c r="AE753">
        <v>10</v>
      </c>
      <c r="AF753" t="s">
        <v>126</v>
      </c>
      <c r="AG753">
        <v>0</v>
      </c>
      <c r="AH753">
        <v>0</v>
      </c>
      <c r="AI753">
        <v>2</v>
      </c>
      <c r="AJ753">
        <v>0</v>
      </c>
      <c r="AK753" t="s">
        <v>519</v>
      </c>
      <c r="AL753">
        <v>31.922599999999999</v>
      </c>
      <c r="AM753" t="s">
        <v>520</v>
      </c>
      <c r="AN753">
        <v>-101.020982</v>
      </c>
      <c r="AQ753" t="s">
        <v>129</v>
      </c>
      <c r="AR753">
        <v>92</v>
      </c>
      <c r="AS753">
        <v>-6</v>
      </c>
      <c r="AT753">
        <v>64</v>
      </c>
      <c r="BB753" t="str">
        <f t="shared" si="85"/>
        <v>1200</v>
      </c>
      <c r="BC753">
        <v>1</v>
      </c>
      <c r="BD753" t="str">
        <f t="shared" si="92"/>
        <v xml:space="preserve">N745MB  </v>
      </c>
      <c r="BE753">
        <v>1</v>
      </c>
      <c r="BG753">
        <v>0</v>
      </c>
      <c r="BH753">
        <v>0</v>
      </c>
      <c r="BI753">
        <v>0</v>
      </c>
      <c r="BL753" t="s">
        <v>130</v>
      </c>
      <c r="BM753">
        <v>1</v>
      </c>
      <c r="BN753">
        <v>0</v>
      </c>
      <c r="BO753">
        <v>0</v>
      </c>
      <c r="BP753">
        <v>0</v>
      </c>
      <c r="BT753">
        <v>0</v>
      </c>
      <c r="BU753">
        <v>0</v>
      </c>
      <c r="CE753" t="str">
        <f>"20:24:54.019"</f>
        <v>20:24:54.019</v>
      </c>
      <c r="CF753">
        <v>18634217</v>
      </c>
      <c r="CS753">
        <v>0</v>
      </c>
      <c r="CT753">
        <v>2</v>
      </c>
      <c r="CU753">
        <v>0</v>
      </c>
      <c r="CV753">
        <v>2</v>
      </c>
      <c r="CW753">
        <v>0</v>
      </c>
      <c r="CX753">
        <v>5</v>
      </c>
      <c r="CY753">
        <v>7</v>
      </c>
      <c r="CZ753" t="s">
        <v>131</v>
      </c>
      <c r="DA753">
        <v>116</v>
      </c>
      <c r="DB753">
        <v>3</v>
      </c>
      <c r="DC753" t="s">
        <v>132</v>
      </c>
      <c r="DD753" t="s">
        <v>133</v>
      </c>
      <c r="DG753">
        <v>8378526</v>
      </c>
      <c r="DI753">
        <v>0</v>
      </c>
      <c r="DJ753">
        <v>0</v>
      </c>
      <c r="DK753">
        <v>1</v>
      </c>
      <c r="DL753">
        <v>0</v>
      </c>
      <c r="DM753">
        <v>0</v>
      </c>
      <c r="DN753">
        <v>0</v>
      </c>
      <c r="DO753">
        <v>0</v>
      </c>
      <c r="DP753">
        <v>1</v>
      </c>
      <c r="DQ753">
        <v>0</v>
      </c>
      <c r="DR753">
        <v>0</v>
      </c>
      <c r="DS753">
        <v>0</v>
      </c>
    </row>
    <row r="754" spans="1:123" x14ac:dyDescent="0.25">
      <c r="A754" t="str">
        <f>"11/29/2023 20:24:54.446"</f>
        <v>11/29/2023 20:24:54.446</v>
      </c>
      <c r="C754" t="str">
        <f t="shared" si="91"/>
        <v>FFDF53C0</v>
      </c>
      <c r="D754" t="s">
        <v>123</v>
      </c>
      <c r="E754">
        <v>1</v>
      </c>
      <c r="F754">
        <v>1001</v>
      </c>
      <c r="G754" t="s">
        <v>134</v>
      </c>
      <c r="J754" t="s">
        <v>125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"20:24:54.016"</f>
        <v>20:24:54.016</v>
      </c>
      <c r="T754" t="str">
        <f>"20:24:53.516"</f>
        <v>20:24:53.516</v>
      </c>
      <c r="U754" t="str">
        <f t="shared" si="84"/>
        <v>AA0632</v>
      </c>
      <c r="V754">
        <v>0</v>
      </c>
      <c r="W754">
        <v>0</v>
      </c>
      <c r="X754">
        <v>2</v>
      </c>
      <c r="Y754">
        <v>0</v>
      </c>
      <c r="AA754">
        <v>0</v>
      </c>
      <c r="AB754">
        <v>9</v>
      </c>
      <c r="AC754">
        <v>3</v>
      </c>
      <c r="AD754">
        <v>0</v>
      </c>
      <c r="AE754">
        <v>10</v>
      </c>
      <c r="AF754" t="s">
        <v>126</v>
      </c>
      <c r="AG754">
        <v>0</v>
      </c>
      <c r="AH754">
        <v>0</v>
      </c>
      <c r="AI754">
        <v>2</v>
      </c>
      <c r="AJ754">
        <v>0</v>
      </c>
      <c r="AK754" t="s">
        <v>519</v>
      </c>
      <c r="AL754">
        <v>31.922599999999999</v>
      </c>
      <c r="AM754" t="s">
        <v>520</v>
      </c>
      <c r="AN754">
        <v>-101.020982</v>
      </c>
      <c r="AQ754" t="s">
        <v>129</v>
      </c>
      <c r="AR754">
        <v>92</v>
      </c>
      <c r="AS754">
        <v>-6</v>
      </c>
      <c r="AT754">
        <v>64</v>
      </c>
      <c r="BB754" t="str">
        <f t="shared" si="85"/>
        <v>1200</v>
      </c>
      <c r="BC754">
        <v>1</v>
      </c>
      <c r="BD754" t="str">
        <f t="shared" si="92"/>
        <v xml:space="preserve">N745MB  </v>
      </c>
      <c r="BE754">
        <v>1</v>
      </c>
      <c r="BG754">
        <v>0</v>
      </c>
      <c r="BH754">
        <v>0</v>
      </c>
      <c r="BI754">
        <v>0</v>
      </c>
      <c r="BL754" t="s">
        <v>130</v>
      </c>
      <c r="BM754">
        <v>1</v>
      </c>
      <c r="BN754">
        <v>0</v>
      </c>
      <c r="BO754">
        <v>0</v>
      </c>
      <c r="BP754">
        <v>0</v>
      </c>
      <c r="BT754">
        <v>0</v>
      </c>
      <c r="BU754">
        <v>0</v>
      </c>
      <c r="CE754" t="str">
        <f>"20:24:54.019"</f>
        <v>20:24:54.019</v>
      </c>
      <c r="CF754">
        <v>18634217</v>
      </c>
      <c r="CS754">
        <v>0</v>
      </c>
      <c r="CT754">
        <v>2</v>
      </c>
      <c r="CU754">
        <v>0</v>
      </c>
      <c r="CV754">
        <v>2</v>
      </c>
      <c r="CW754">
        <v>0</v>
      </c>
      <c r="CX754">
        <v>5</v>
      </c>
      <c r="CY754">
        <v>7</v>
      </c>
      <c r="CZ754" t="s">
        <v>131</v>
      </c>
      <c r="DA754">
        <v>116</v>
      </c>
      <c r="DB754">
        <v>3</v>
      </c>
      <c r="DC754" t="s">
        <v>132</v>
      </c>
      <c r="DD754" t="s">
        <v>133</v>
      </c>
      <c r="DG754">
        <v>8378526</v>
      </c>
      <c r="DI754">
        <v>0</v>
      </c>
      <c r="DJ754">
        <v>0</v>
      </c>
      <c r="DK754">
        <v>1</v>
      </c>
      <c r="DL754">
        <v>0</v>
      </c>
      <c r="DM754">
        <v>0</v>
      </c>
      <c r="DN754">
        <v>0</v>
      </c>
      <c r="DO754">
        <v>0</v>
      </c>
      <c r="DP754">
        <v>1</v>
      </c>
      <c r="DQ754">
        <v>0</v>
      </c>
      <c r="DR754">
        <v>0</v>
      </c>
      <c r="DS754">
        <v>0</v>
      </c>
    </row>
    <row r="755" spans="1:123" x14ac:dyDescent="0.25">
      <c r="A755" t="str">
        <f>"11/29/2023 20:24:54.446"</f>
        <v>11/29/2023 20:24:54.446</v>
      </c>
      <c r="C755" t="str">
        <f t="shared" si="91"/>
        <v>FFDF53C0</v>
      </c>
      <c r="D755" t="s">
        <v>123</v>
      </c>
      <c r="E755">
        <v>14</v>
      </c>
      <c r="F755">
        <v>1014</v>
      </c>
      <c r="G755" t="s">
        <v>124</v>
      </c>
      <c r="J755" t="s">
        <v>125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"20:24:54.016"</f>
        <v>20:24:54.016</v>
      </c>
      <c r="T755" t="str">
        <f>"20:24:53.516"</f>
        <v>20:24:53.516</v>
      </c>
      <c r="U755" t="str">
        <f t="shared" si="84"/>
        <v>AA0632</v>
      </c>
      <c r="V755">
        <v>0</v>
      </c>
      <c r="W755">
        <v>0</v>
      </c>
      <c r="X755">
        <v>2</v>
      </c>
      <c r="Y755">
        <v>0</v>
      </c>
      <c r="AA755">
        <v>0</v>
      </c>
      <c r="AB755">
        <v>9</v>
      </c>
      <c r="AC755">
        <v>3</v>
      </c>
      <c r="AD755">
        <v>0</v>
      </c>
      <c r="AE755">
        <v>10</v>
      </c>
      <c r="AF755" t="s">
        <v>126</v>
      </c>
      <c r="AG755">
        <v>0</v>
      </c>
      <c r="AH755">
        <v>0</v>
      </c>
      <c r="AI755">
        <v>2</v>
      </c>
      <c r="AJ755">
        <v>0</v>
      </c>
      <c r="AK755" t="s">
        <v>519</v>
      </c>
      <c r="AL755">
        <v>31.922599999999999</v>
      </c>
      <c r="AM755" t="s">
        <v>520</v>
      </c>
      <c r="AN755">
        <v>-101.020982</v>
      </c>
      <c r="AQ755" t="s">
        <v>129</v>
      </c>
      <c r="AR755">
        <v>92</v>
      </c>
      <c r="AS755">
        <v>-6</v>
      </c>
      <c r="AT755">
        <v>64</v>
      </c>
      <c r="BB755" t="str">
        <f t="shared" si="85"/>
        <v>1200</v>
      </c>
      <c r="BC755">
        <v>1</v>
      </c>
      <c r="BD755" t="str">
        <f t="shared" si="92"/>
        <v xml:space="preserve">N745MB  </v>
      </c>
      <c r="BE755">
        <v>1</v>
      </c>
      <c r="BG755">
        <v>0</v>
      </c>
      <c r="BH755">
        <v>0</v>
      </c>
      <c r="BI755">
        <v>0</v>
      </c>
      <c r="BL755" t="s">
        <v>130</v>
      </c>
      <c r="BM755">
        <v>1</v>
      </c>
      <c r="BN755">
        <v>0</v>
      </c>
      <c r="BO755">
        <v>0</v>
      </c>
      <c r="BP755">
        <v>0</v>
      </c>
      <c r="BT755">
        <v>0</v>
      </c>
      <c r="BU755">
        <v>0</v>
      </c>
      <c r="CE755" t="str">
        <f>"20:24:54.019"</f>
        <v>20:24:54.019</v>
      </c>
      <c r="CF755">
        <v>18634217</v>
      </c>
      <c r="CS755">
        <v>0</v>
      </c>
      <c r="CT755">
        <v>2</v>
      </c>
      <c r="CU755">
        <v>0</v>
      </c>
      <c r="CV755">
        <v>2</v>
      </c>
      <c r="CW755">
        <v>0</v>
      </c>
      <c r="CX755">
        <v>5</v>
      </c>
      <c r="CY755">
        <v>7</v>
      </c>
      <c r="CZ755" t="s">
        <v>131</v>
      </c>
      <c r="DA755">
        <v>116</v>
      </c>
      <c r="DB755">
        <v>3</v>
      </c>
      <c r="DC755" t="s">
        <v>132</v>
      </c>
      <c r="DD755" t="s">
        <v>133</v>
      </c>
      <c r="DG755">
        <v>8378526</v>
      </c>
      <c r="DI755">
        <v>0</v>
      </c>
      <c r="DJ755">
        <v>0</v>
      </c>
      <c r="DK755">
        <v>1</v>
      </c>
      <c r="DL755">
        <v>0</v>
      </c>
      <c r="DM755">
        <v>0</v>
      </c>
      <c r="DN755">
        <v>0</v>
      </c>
      <c r="DO755">
        <v>0</v>
      </c>
      <c r="DP755">
        <v>1</v>
      </c>
      <c r="DQ755">
        <v>0</v>
      </c>
      <c r="DR755">
        <v>0</v>
      </c>
      <c r="DS755">
        <v>0</v>
      </c>
    </row>
    <row r="756" spans="1:123" x14ac:dyDescent="0.25">
      <c r="A756" t="str">
        <f>"11/29/2023 20:24:55.946"</f>
        <v>11/29/2023 20:24:55.946</v>
      </c>
      <c r="C756" t="str">
        <f t="shared" si="91"/>
        <v>FFDF53C0</v>
      </c>
      <c r="D756" t="s">
        <v>135</v>
      </c>
      <c r="E756">
        <v>31</v>
      </c>
      <c r="H756">
        <v>285</v>
      </c>
      <c r="I756" t="s">
        <v>136</v>
      </c>
      <c r="J756" t="s">
        <v>137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 t="shared" ref="S756:T760" si="93">"20:24:55.586"</f>
        <v>20:24:55.586</v>
      </c>
      <c r="T756" t="str">
        <f t="shared" si="93"/>
        <v>20:24:55.586</v>
      </c>
      <c r="U756" t="str">
        <f t="shared" si="84"/>
        <v>AA0632</v>
      </c>
      <c r="V756">
        <v>0</v>
      </c>
      <c r="W756">
        <v>0</v>
      </c>
      <c r="X756">
        <v>2</v>
      </c>
      <c r="Y756">
        <v>0</v>
      </c>
      <c r="AA756">
        <v>0</v>
      </c>
      <c r="AB756">
        <v>9</v>
      </c>
      <c r="AC756">
        <v>3</v>
      </c>
      <c r="AD756">
        <v>0</v>
      </c>
      <c r="AE756">
        <v>10</v>
      </c>
      <c r="AF756" t="s">
        <v>126</v>
      </c>
      <c r="AG756">
        <v>0</v>
      </c>
      <c r="AH756">
        <v>0</v>
      </c>
      <c r="AI756">
        <v>2</v>
      </c>
      <c r="AJ756">
        <v>0</v>
      </c>
      <c r="AK756" t="s">
        <v>519</v>
      </c>
      <c r="AL756">
        <v>31.922599999999999</v>
      </c>
      <c r="AM756" t="s">
        <v>521</v>
      </c>
      <c r="AN756">
        <v>-101.020188</v>
      </c>
      <c r="AQ756" t="s">
        <v>129</v>
      </c>
      <c r="AR756">
        <v>93</v>
      </c>
      <c r="AS756">
        <v>-6</v>
      </c>
      <c r="AT756">
        <v>0</v>
      </c>
      <c r="BB756" t="str">
        <f t="shared" si="85"/>
        <v>1200</v>
      </c>
      <c r="BC756">
        <v>1</v>
      </c>
      <c r="BD756" t="str">
        <f t="shared" si="92"/>
        <v xml:space="preserve">N745MB  </v>
      </c>
      <c r="BE756">
        <v>1</v>
      </c>
      <c r="BG756">
        <v>0</v>
      </c>
      <c r="BH756">
        <v>0</v>
      </c>
      <c r="BI756">
        <v>0</v>
      </c>
      <c r="BL756" t="s">
        <v>130</v>
      </c>
      <c r="BM756">
        <v>1</v>
      </c>
      <c r="BN756">
        <v>0</v>
      </c>
      <c r="BO756">
        <v>0</v>
      </c>
      <c r="BP756">
        <v>0</v>
      </c>
      <c r="BT756">
        <v>0</v>
      </c>
      <c r="BU756">
        <v>0</v>
      </c>
      <c r="CE756" t="str">
        <f>"20:24:55.589"</f>
        <v>20:24:55.589</v>
      </c>
      <c r="CF756">
        <v>588522278</v>
      </c>
      <c r="CS756">
        <v>0</v>
      </c>
      <c r="CT756">
        <v>2</v>
      </c>
      <c r="CU756">
        <v>0</v>
      </c>
      <c r="CV756">
        <v>2</v>
      </c>
      <c r="CW756">
        <v>0</v>
      </c>
      <c r="CX756">
        <v>5</v>
      </c>
      <c r="CY756">
        <v>7</v>
      </c>
      <c r="CZ756" t="s">
        <v>131</v>
      </c>
      <c r="DA756">
        <v>116</v>
      </c>
      <c r="DB756">
        <v>3</v>
      </c>
      <c r="DC756" t="s">
        <v>132</v>
      </c>
      <c r="DD756" t="s">
        <v>133</v>
      </c>
      <c r="DG756">
        <v>8379366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1</v>
      </c>
      <c r="DQ756">
        <v>0</v>
      </c>
      <c r="DR756">
        <v>0</v>
      </c>
      <c r="DS756">
        <v>0</v>
      </c>
    </row>
    <row r="757" spans="1:123" x14ac:dyDescent="0.25">
      <c r="A757" t="str">
        <f>"11/29/2023 20:24:55.946"</f>
        <v>11/29/2023 20:24:55.946</v>
      </c>
      <c r="C757" t="str">
        <f t="shared" si="91"/>
        <v>FFDF53C0</v>
      </c>
      <c r="D757" t="s">
        <v>123</v>
      </c>
      <c r="E757">
        <v>1</v>
      </c>
      <c r="F757">
        <v>1001</v>
      </c>
      <c r="G757" t="s">
        <v>134</v>
      </c>
      <c r="J757" t="s">
        <v>125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 t="shared" si="93"/>
        <v>20:24:55.586</v>
      </c>
      <c r="T757" t="str">
        <f t="shared" si="93"/>
        <v>20:24:55.586</v>
      </c>
      <c r="U757" t="str">
        <f t="shared" si="84"/>
        <v>AA0632</v>
      </c>
      <c r="V757">
        <v>0</v>
      </c>
      <c r="W757">
        <v>0</v>
      </c>
      <c r="X757">
        <v>2</v>
      </c>
      <c r="Y757">
        <v>0</v>
      </c>
      <c r="AA757">
        <v>0</v>
      </c>
      <c r="AB757">
        <v>9</v>
      </c>
      <c r="AC757">
        <v>3</v>
      </c>
      <c r="AD757">
        <v>0</v>
      </c>
      <c r="AE757">
        <v>10</v>
      </c>
      <c r="AF757" t="s">
        <v>126</v>
      </c>
      <c r="AG757">
        <v>0</v>
      </c>
      <c r="AH757">
        <v>0</v>
      </c>
      <c r="AI757">
        <v>2</v>
      </c>
      <c r="AJ757">
        <v>0</v>
      </c>
      <c r="AK757" t="s">
        <v>519</v>
      </c>
      <c r="AL757">
        <v>31.922599999999999</v>
      </c>
      <c r="AM757" t="s">
        <v>521</v>
      </c>
      <c r="AN757">
        <v>-101.020188</v>
      </c>
      <c r="AQ757" t="s">
        <v>129</v>
      </c>
      <c r="AR757">
        <v>93</v>
      </c>
      <c r="AS757">
        <v>-6</v>
      </c>
      <c r="AT757">
        <v>0</v>
      </c>
      <c r="BB757" t="str">
        <f t="shared" si="85"/>
        <v>1200</v>
      </c>
      <c r="BC757">
        <v>1</v>
      </c>
      <c r="BD757" t="str">
        <f t="shared" si="92"/>
        <v xml:space="preserve">N745MB  </v>
      </c>
      <c r="BE757">
        <v>1</v>
      </c>
      <c r="BG757">
        <v>0</v>
      </c>
      <c r="BH757">
        <v>0</v>
      </c>
      <c r="BI757">
        <v>0</v>
      </c>
      <c r="BL757" t="s">
        <v>130</v>
      </c>
      <c r="BM757">
        <v>1</v>
      </c>
      <c r="BN757">
        <v>0</v>
      </c>
      <c r="BO757">
        <v>0</v>
      </c>
      <c r="BP757">
        <v>0</v>
      </c>
      <c r="BT757">
        <v>0</v>
      </c>
      <c r="BU757">
        <v>0</v>
      </c>
      <c r="CE757" t="str">
        <f>"20:24:55.589"</f>
        <v>20:24:55.589</v>
      </c>
      <c r="CF757">
        <v>588522278</v>
      </c>
      <c r="CS757">
        <v>0</v>
      </c>
      <c r="CT757">
        <v>2</v>
      </c>
      <c r="CU757">
        <v>0</v>
      </c>
      <c r="CV757">
        <v>2</v>
      </c>
      <c r="CW757">
        <v>0</v>
      </c>
      <c r="CX757">
        <v>5</v>
      </c>
      <c r="CY757">
        <v>7</v>
      </c>
      <c r="CZ757" t="s">
        <v>131</v>
      </c>
      <c r="DA757">
        <v>116</v>
      </c>
      <c r="DB757">
        <v>3</v>
      </c>
      <c r="DC757" t="s">
        <v>132</v>
      </c>
      <c r="DD757" t="s">
        <v>133</v>
      </c>
      <c r="DG757">
        <v>8379366</v>
      </c>
      <c r="DI757">
        <v>0</v>
      </c>
      <c r="DJ757">
        <v>0</v>
      </c>
      <c r="DK757">
        <v>1</v>
      </c>
      <c r="DL757">
        <v>0</v>
      </c>
      <c r="DM757">
        <v>0</v>
      </c>
      <c r="DN757">
        <v>0</v>
      </c>
      <c r="DO757">
        <v>0</v>
      </c>
      <c r="DP757">
        <v>1</v>
      </c>
      <c r="DQ757">
        <v>0</v>
      </c>
      <c r="DR757">
        <v>0</v>
      </c>
      <c r="DS757">
        <v>0</v>
      </c>
    </row>
    <row r="758" spans="1:123" x14ac:dyDescent="0.25">
      <c r="A758" t="str">
        <f>"11/29/2023 20:24:55.946"</f>
        <v>11/29/2023 20:24:55.946</v>
      </c>
      <c r="C758" t="str">
        <f t="shared" si="91"/>
        <v>FFDF53C0</v>
      </c>
      <c r="D758" t="s">
        <v>123</v>
      </c>
      <c r="E758">
        <v>14</v>
      </c>
      <c r="F758">
        <v>1014</v>
      </c>
      <c r="G758" t="s">
        <v>124</v>
      </c>
      <c r="J758" t="s">
        <v>125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 t="shared" si="93"/>
        <v>20:24:55.586</v>
      </c>
      <c r="T758" t="str">
        <f t="shared" si="93"/>
        <v>20:24:55.586</v>
      </c>
      <c r="U758" t="str">
        <f t="shared" si="84"/>
        <v>AA0632</v>
      </c>
      <c r="V758">
        <v>0</v>
      </c>
      <c r="W758">
        <v>0</v>
      </c>
      <c r="X758">
        <v>2</v>
      </c>
      <c r="Y758">
        <v>0</v>
      </c>
      <c r="AA758">
        <v>0</v>
      </c>
      <c r="AB758">
        <v>9</v>
      </c>
      <c r="AC758">
        <v>3</v>
      </c>
      <c r="AD758">
        <v>0</v>
      </c>
      <c r="AE758">
        <v>10</v>
      </c>
      <c r="AF758" t="s">
        <v>126</v>
      </c>
      <c r="AG758">
        <v>0</v>
      </c>
      <c r="AH758">
        <v>0</v>
      </c>
      <c r="AI758">
        <v>2</v>
      </c>
      <c r="AJ758">
        <v>0</v>
      </c>
      <c r="AK758" t="s">
        <v>519</v>
      </c>
      <c r="AL758">
        <v>31.922599999999999</v>
      </c>
      <c r="AM758" t="s">
        <v>521</v>
      </c>
      <c r="AN758">
        <v>-101.020188</v>
      </c>
      <c r="AQ758" t="s">
        <v>129</v>
      </c>
      <c r="AR758">
        <v>93</v>
      </c>
      <c r="AS758">
        <v>-6</v>
      </c>
      <c r="AT758">
        <v>0</v>
      </c>
      <c r="BB758" t="str">
        <f t="shared" si="85"/>
        <v>1200</v>
      </c>
      <c r="BC758">
        <v>1</v>
      </c>
      <c r="BD758" t="str">
        <f t="shared" si="92"/>
        <v xml:space="preserve">N745MB  </v>
      </c>
      <c r="BE758">
        <v>1</v>
      </c>
      <c r="BG758">
        <v>0</v>
      </c>
      <c r="BH758">
        <v>0</v>
      </c>
      <c r="BI758">
        <v>0</v>
      </c>
      <c r="BL758" t="s">
        <v>130</v>
      </c>
      <c r="BM758">
        <v>1</v>
      </c>
      <c r="BN758">
        <v>0</v>
      </c>
      <c r="BO758">
        <v>0</v>
      </c>
      <c r="BP758">
        <v>0</v>
      </c>
      <c r="BT758">
        <v>0</v>
      </c>
      <c r="BU758">
        <v>0</v>
      </c>
      <c r="CE758" t="str">
        <f>"20:24:55.589"</f>
        <v>20:24:55.589</v>
      </c>
      <c r="CF758">
        <v>588522278</v>
      </c>
      <c r="CS758">
        <v>0</v>
      </c>
      <c r="CT758">
        <v>2</v>
      </c>
      <c r="CU758">
        <v>0</v>
      </c>
      <c r="CV758">
        <v>2</v>
      </c>
      <c r="CW758">
        <v>0</v>
      </c>
      <c r="CX758">
        <v>5</v>
      </c>
      <c r="CY758">
        <v>7</v>
      </c>
      <c r="CZ758" t="s">
        <v>131</v>
      </c>
      <c r="DA758">
        <v>116</v>
      </c>
      <c r="DB758">
        <v>3</v>
      </c>
      <c r="DC758" t="s">
        <v>132</v>
      </c>
      <c r="DD758" t="s">
        <v>133</v>
      </c>
      <c r="DG758">
        <v>8379366</v>
      </c>
      <c r="DI758">
        <v>0</v>
      </c>
      <c r="DJ758">
        <v>0</v>
      </c>
      <c r="DK758">
        <v>1</v>
      </c>
      <c r="DL758">
        <v>0</v>
      </c>
      <c r="DM758">
        <v>0</v>
      </c>
      <c r="DN758">
        <v>0</v>
      </c>
      <c r="DO758">
        <v>0</v>
      </c>
      <c r="DP758">
        <v>1</v>
      </c>
      <c r="DQ758">
        <v>0</v>
      </c>
      <c r="DR758">
        <v>0</v>
      </c>
      <c r="DS758">
        <v>0</v>
      </c>
    </row>
    <row r="759" spans="1:123" x14ac:dyDescent="0.25">
      <c r="A759" t="str">
        <f>"11/29/2023 20:24:55.946"</f>
        <v>11/29/2023 20:24:55.946</v>
      </c>
      <c r="C759" t="str">
        <f>"FFD353C0"</f>
        <v>FFD353C0</v>
      </c>
      <c r="D759" t="s">
        <v>164</v>
      </c>
      <c r="E759">
        <v>24</v>
      </c>
      <c r="F759">
        <v>2024</v>
      </c>
      <c r="G759" t="s">
        <v>165</v>
      </c>
      <c r="J759" t="s">
        <v>166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 t="shared" si="93"/>
        <v>20:24:55.586</v>
      </c>
      <c r="T759" t="str">
        <f t="shared" si="93"/>
        <v>20:24:55.586</v>
      </c>
      <c r="U759" t="str">
        <f t="shared" si="84"/>
        <v>AA0632</v>
      </c>
      <c r="V759">
        <v>0</v>
      </c>
      <c r="W759">
        <v>0</v>
      </c>
      <c r="X759">
        <v>2</v>
      </c>
      <c r="Y759">
        <v>0</v>
      </c>
      <c r="AA759">
        <v>0</v>
      </c>
      <c r="AB759">
        <v>9</v>
      </c>
      <c r="AC759">
        <v>3</v>
      </c>
      <c r="AD759">
        <v>0</v>
      </c>
      <c r="AE759">
        <v>10</v>
      </c>
      <c r="AF759" t="s">
        <v>126</v>
      </c>
      <c r="AG759">
        <v>0</v>
      </c>
      <c r="AH759">
        <v>0</v>
      </c>
      <c r="AI759">
        <v>2</v>
      </c>
      <c r="AJ759">
        <v>0</v>
      </c>
      <c r="AK759" t="s">
        <v>519</v>
      </c>
      <c r="AL759">
        <v>31.922599999999999</v>
      </c>
      <c r="AM759" t="s">
        <v>521</v>
      </c>
      <c r="AN759">
        <v>-101.020188</v>
      </c>
      <c r="AQ759" t="s">
        <v>129</v>
      </c>
      <c r="AR759">
        <v>93</v>
      </c>
      <c r="AS759">
        <v>-6</v>
      </c>
      <c r="AT759">
        <v>0</v>
      </c>
      <c r="BB759" t="str">
        <f t="shared" si="85"/>
        <v>1200</v>
      </c>
      <c r="BC759">
        <v>1</v>
      </c>
      <c r="BG759">
        <v>0</v>
      </c>
      <c r="BH759">
        <v>0</v>
      </c>
      <c r="BI759">
        <v>0</v>
      </c>
      <c r="BL759" t="s">
        <v>130</v>
      </c>
      <c r="BM759">
        <v>1</v>
      </c>
      <c r="BN759">
        <v>0</v>
      </c>
      <c r="BO759">
        <v>0</v>
      </c>
      <c r="BP759">
        <v>0</v>
      </c>
      <c r="BT759">
        <v>0</v>
      </c>
      <c r="BU759">
        <v>0</v>
      </c>
      <c r="CE759" t="str">
        <f>"20:24:55.589"</f>
        <v>20:24:55.589</v>
      </c>
      <c r="CF759">
        <v>588535878</v>
      </c>
      <c r="CS759">
        <v>0</v>
      </c>
      <c r="CT759">
        <v>2</v>
      </c>
      <c r="CU759">
        <v>0</v>
      </c>
      <c r="CV759">
        <v>2</v>
      </c>
      <c r="CW759">
        <v>0</v>
      </c>
      <c r="CX759">
        <v>3</v>
      </c>
      <c r="CY759">
        <v>7</v>
      </c>
      <c r="CZ759" t="s">
        <v>131</v>
      </c>
      <c r="DA759">
        <v>483</v>
      </c>
      <c r="DB759">
        <v>1</v>
      </c>
      <c r="DC759" t="s">
        <v>169</v>
      </c>
      <c r="DD759" t="s">
        <v>170</v>
      </c>
      <c r="DG759">
        <v>7367598</v>
      </c>
      <c r="DI759">
        <v>0</v>
      </c>
      <c r="DJ759">
        <v>0</v>
      </c>
      <c r="DK759">
        <v>1</v>
      </c>
      <c r="DL759">
        <v>0</v>
      </c>
      <c r="DM759">
        <v>0</v>
      </c>
      <c r="DN759">
        <v>0</v>
      </c>
      <c r="DO759">
        <v>0</v>
      </c>
      <c r="DP759">
        <v>1</v>
      </c>
      <c r="DQ759">
        <v>0</v>
      </c>
      <c r="DR759">
        <v>0</v>
      </c>
      <c r="DS759">
        <v>0</v>
      </c>
    </row>
    <row r="760" spans="1:123" x14ac:dyDescent="0.25">
      <c r="A760" t="str">
        <f>"11/29/2023 20:24:56.024"</f>
        <v>11/29/2023 20:24:56.024</v>
      </c>
      <c r="C760" t="str">
        <f t="shared" ref="C760:C768" si="94">"FFDF53C0"</f>
        <v>FFDF53C0</v>
      </c>
      <c r="D760" t="s">
        <v>138</v>
      </c>
      <c r="E760">
        <v>3</v>
      </c>
      <c r="H760">
        <v>160</v>
      </c>
      <c r="I760" t="s">
        <v>124</v>
      </c>
      <c r="J760" t="s">
        <v>139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 t="shared" si="93"/>
        <v>20:24:55.586</v>
      </c>
      <c r="T760" t="str">
        <f t="shared" si="93"/>
        <v>20:24:55.586</v>
      </c>
      <c r="U760" t="str">
        <f t="shared" si="84"/>
        <v>AA0632</v>
      </c>
      <c r="V760">
        <v>0</v>
      </c>
      <c r="W760">
        <v>0</v>
      </c>
      <c r="X760">
        <v>2</v>
      </c>
      <c r="Y760">
        <v>0</v>
      </c>
      <c r="AA760">
        <v>0</v>
      </c>
      <c r="AB760">
        <v>9</v>
      </c>
      <c r="AC760">
        <v>3</v>
      </c>
      <c r="AD760">
        <v>0</v>
      </c>
      <c r="AE760">
        <v>10</v>
      </c>
      <c r="AF760" t="s">
        <v>126</v>
      </c>
      <c r="AG760">
        <v>0</v>
      </c>
      <c r="AH760">
        <v>0</v>
      </c>
      <c r="AI760">
        <v>2</v>
      </c>
      <c r="AJ760">
        <v>0</v>
      </c>
      <c r="AK760" t="s">
        <v>519</v>
      </c>
      <c r="AL760">
        <v>31.922599999999999</v>
      </c>
      <c r="AM760" t="s">
        <v>521</v>
      </c>
      <c r="AN760">
        <v>-101.020188</v>
      </c>
      <c r="AQ760" t="s">
        <v>129</v>
      </c>
      <c r="AR760">
        <v>93</v>
      </c>
      <c r="AS760">
        <v>-6</v>
      </c>
      <c r="AT760">
        <v>0</v>
      </c>
      <c r="BB760" t="str">
        <f t="shared" si="85"/>
        <v>1200</v>
      </c>
      <c r="BC760">
        <v>1</v>
      </c>
      <c r="BD760" t="str">
        <f t="shared" ref="BD760:BD768" si="95">"N745MB  "</f>
        <v xml:space="preserve">N745MB  </v>
      </c>
      <c r="BE760">
        <v>1</v>
      </c>
      <c r="BG760">
        <v>0</v>
      </c>
      <c r="BH760">
        <v>0</v>
      </c>
      <c r="BI760">
        <v>0</v>
      </c>
      <c r="BL760" t="s">
        <v>130</v>
      </c>
      <c r="BM760">
        <v>1</v>
      </c>
      <c r="BN760">
        <v>0</v>
      </c>
      <c r="BO760">
        <v>0</v>
      </c>
      <c r="BP760">
        <v>0</v>
      </c>
      <c r="BT760">
        <v>0</v>
      </c>
      <c r="BU760">
        <v>0</v>
      </c>
      <c r="CE760" t="str">
        <f>"20:24:55.589"</f>
        <v>20:24:55.589</v>
      </c>
      <c r="CF760">
        <v>588522278</v>
      </c>
      <c r="CS760">
        <v>0</v>
      </c>
      <c r="CT760">
        <v>2</v>
      </c>
      <c r="CU760">
        <v>0</v>
      </c>
      <c r="CV760">
        <v>2</v>
      </c>
      <c r="CW760">
        <v>0</v>
      </c>
      <c r="CX760">
        <v>5</v>
      </c>
      <c r="CY760">
        <v>7</v>
      </c>
      <c r="CZ760" t="s">
        <v>131</v>
      </c>
      <c r="DA760">
        <v>116</v>
      </c>
      <c r="DB760">
        <v>3</v>
      </c>
      <c r="DC760" t="s">
        <v>132</v>
      </c>
      <c r="DD760" t="s">
        <v>133</v>
      </c>
      <c r="DG760">
        <v>8379366</v>
      </c>
      <c r="DI760">
        <v>0</v>
      </c>
      <c r="DJ760">
        <v>0</v>
      </c>
      <c r="DK760">
        <v>1</v>
      </c>
      <c r="DL760">
        <v>0</v>
      </c>
      <c r="DM760">
        <v>0</v>
      </c>
      <c r="DN760">
        <v>0</v>
      </c>
      <c r="DO760">
        <v>0</v>
      </c>
      <c r="DP760">
        <v>1</v>
      </c>
      <c r="DQ760">
        <v>0</v>
      </c>
      <c r="DR760">
        <v>0</v>
      </c>
      <c r="DS760">
        <v>0</v>
      </c>
    </row>
    <row r="761" spans="1:123" x14ac:dyDescent="0.25">
      <c r="A761" t="str">
        <f>"11/29/2023 20:24:57.508"</f>
        <v>11/29/2023 20:24:57.508</v>
      </c>
      <c r="C761" t="str">
        <f t="shared" si="94"/>
        <v>FFDF53C0</v>
      </c>
      <c r="D761" t="s">
        <v>135</v>
      </c>
      <c r="E761">
        <v>31</v>
      </c>
      <c r="H761">
        <v>285</v>
      </c>
      <c r="I761" t="s">
        <v>136</v>
      </c>
      <c r="J761" t="s">
        <v>137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"20:24:57.086"</f>
        <v>20:24:57.086</v>
      </c>
      <c r="T761" t="str">
        <f>"20:24:56.986"</f>
        <v>20:24:56.986</v>
      </c>
      <c r="U761" t="str">
        <f t="shared" si="84"/>
        <v>AA0632</v>
      </c>
      <c r="V761">
        <v>0</v>
      </c>
      <c r="W761">
        <v>0</v>
      </c>
      <c r="X761">
        <v>2</v>
      </c>
      <c r="Y761">
        <v>0</v>
      </c>
      <c r="AA761">
        <v>0</v>
      </c>
      <c r="AB761">
        <v>9</v>
      </c>
      <c r="AC761">
        <v>3</v>
      </c>
      <c r="AD761">
        <v>0</v>
      </c>
      <c r="AE761">
        <v>10</v>
      </c>
      <c r="AF761" t="s">
        <v>126</v>
      </c>
      <c r="AG761">
        <v>0</v>
      </c>
      <c r="AH761">
        <v>0</v>
      </c>
      <c r="AI761">
        <v>2</v>
      </c>
      <c r="AJ761">
        <v>0</v>
      </c>
      <c r="AK761" t="s">
        <v>522</v>
      </c>
      <c r="AL761">
        <v>31.922536000000001</v>
      </c>
      <c r="AM761" t="s">
        <v>523</v>
      </c>
      <c r="AN761">
        <v>-101.01939400000001</v>
      </c>
      <c r="AQ761" t="s">
        <v>129</v>
      </c>
      <c r="AR761">
        <v>93</v>
      </c>
      <c r="AS761">
        <v>-5</v>
      </c>
      <c r="AT761">
        <v>0</v>
      </c>
      <c r="BB761" t="str">
        <f t="shared" si="85"/>
        <v>1200</v>
      </c>
      <c r="BC761">
        <v>1</v>
      </c>
      <c r="BD761" t="str">
        <f t="shared" si="95"/>
        <v xml:space="preserve">N745MB  </v>
      </c>
      <c r="BE761">
        <v>1</v>
      </c>
      <c r="BG761">
        <v>0</v>
      </c>
      <c r="BH761">
        <v>0</v>
      </c>
      <c r="BI761">
        <v>0</v>
      </c>
      <c r="BL761" t="s">
        <v>130</v>
      </c>
      <c r="BM761">
        <v>1</v>
      </c>
      <c r="BN761">
        <v>0</v>
      </c>
      <c r="BO761">
        <v>0</v>
      </c>
      <c r="BP761">
        <v>0</v>
      </c>
      <c r="BT761">
        <v>0</v>
      </c>
      <c r="BU761">
        <v>0</v>
      </c>
      <c r="CE761" t="str">
        <f>"20:24:57.090"</f>
        <v>20:24:57.090</v>
      </c>
      <c r="CF761">
        <v>90425682</v>
      </c>
      <c r="CS761">
        <v>0</v>
      </c>
      <c r="CT761">
        <v>2</v>
      </c>
      <c r="CU761">
        <v>0</v>
      </c>
      <c r="CV761">
        <v>2</v>
      </c>
      <c r="CW761">
        <v>0</v>
      </c>
      <c r="CX761">
        <v>5</v>
      </c>
      <c r="CY761">
        <v>7</v>
      </c>
      <c r="CZ761" t="s">
        <v>131</v>
      </c>
      <c r="DA761">
        <v>116</v>
      </c>
      <c r="DB761">
        <v>0</v>
      </c>
      <c r="DC761" t="s">
        <v>132</v>
      </c>
      <c r="DD761" t="s">
        <v>133</v>
      </c>
      <c r="DG761">
        <v>14623286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1</v>
      </c>
      <c r="DQ761">
        <v>0</v>
      </c>
      <c r="DR761">
        <v>0</v>
      </c>
      <c r="DS761">
        <v>0</v>
      </c>
    </row>
    <row r="762" spans="1:123" x14ac:dyDescent="0.25">
      <c r="A762" t="str">
        <f>"11/29/2023 20:24:57.508"</f>
        <v>11/29/2023 20:24:57.508</v>
      </c>
      <c r="C762" t="str">
        <f t="shared" si="94"/>
        <v>FFDF53C0</v>
      </c>
      <c r="D762" t="s">
        <v>138</v>
      </c>
      <c r="E762">
        <v>3</v>
      </c>
      <c r="H762">
        <v>160</v>
      </c>
      <c r="I762" t="s">
        <v>124</v>
      </c>
      <c r="J762" t="s">
        <v>139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"20:24:57.086"</f>
        <v>20:24:57.086</v>
      </c>
      <c r="T762" t="str">
        <f>"20:24:56.986"</f>
        <v>20:24:56.986</v>
      </c>
      <c r="U762" t="str">
        <f t="shared" si="84"/>
        <v>AA0632</v>
      </c>
      <c r="V762">
        <v>0</v>
      </c>
      <c r="W762">
        <v>0</v>
      </c>
      <c r="X762">
        <v>2</v>
      </c>
      <c r="Y762">
        <v>0</v>
      </c>
      <c r="AA762">
        <v>0</v>
      </c>
      <c r="AB762">
        <v>9</v>
      </c>
      <c r="AC762">
        <v>3</v>
      </c>
      <c r="AD762">
        <v>0</v>
      </c>
      <c r="AE762">
        <v>10</v>
      </c>
      <c r="AF762" t="s">
        <v>126</v>
      </c>
      <c r="AG762">
        <v>0</v>
      </c>
      <c r="AH762">
        <v>0</v>
      </c>
      <c r="AI762">
        <v>2</v>
      </c>
      <c r="AJ762">
        <v>0</v>
      </c>
      <c r="AK762" t="s">
        <v>522</v>
      </c>
      <c r="AL762">
        <v>31.922536000000001</v>
      </c>
      <c r="AM762" t="s">
        <v>523</v>
      </c>
      <c r="AN762">
        <v>-101.01939400000001</v>
      </c>
      <c r="AQ762" t="s">
        <v>129</v>
      </c>
      <c r="AR762">
        <v>93</v>
      </c>
      <c r="AS762">
        <v>-5</v>
      </c>
      <c r="AT762">
        <v>0</v>
      </c>
      <c r="BB762" t="str">
        <f t="shared" si="85"/>
        <v>1200</v>
      </c>
      <c r="BC762">
        <v>1</v>
      </c>
      <c r="BD762" t="str">
        <f t="shared" si="95"/>
        <v xml:space="preserve">N745MB  </v>
      </c>
      <c r="BE762">
        <v>1</v>
      </c>
      <c r="BG762">
        <v>0</v>
      </c>
      <c r="BH762">
        <v>0</v>
      </c>
      <c r="BI762">
        <v>0</v>
      </c>
      <c r="BL762" t="s">
        <v>130</v>
      </c>
      <c r="BM762">
        <v>1</v>
      </c>
      <c r="BN762">
        <v>0</v>
      </c>
      <c r="BO762">
        <v>0</v>
      </c>
      <c r="BP762">
        <v>0</v>
      </c>
      <c r="BT762">
        <v>0</v>
      </c>
      <c r="BU762">
        <v>0</v>
      </c>
      <c r="CE762" t="str">
        <f>"20:24:57.090"</f>
        <v>20:24:57.090</v>
      </c>
      <c r="CF762">
        <v>90425682</v>
      </c>
      <c r="CS762">
        <v>0</v>
      </c>
      <c r="CT762">
        <v>2</v>
      </c>
      <c r="CU762">
        <v>0</v>
      </c>
      <c r="CV762">
        <v>2</v>
      </c>
      <c r="CW762">
        <v>0</v>
      </c>
      <c r="CX762">
        <v>5</v>
      </c>
      <c r="CY762">
        <v>7</v>
      </c>
      <c r="CZ762" t="s">
        <v>131</v>
      </c>
      <c r="DA762">
        <v>116</v>
      </c>
      <c r="DB762">
        <v>0</v>
      </c>
      <c r="DC762" t="s">
        <v>132</v>
      </c>
      <c r="DD762" t="s">
        <v>133</v>
      </c>
      <c r="DG762">
        <v>14623286</v>
      </c>
      <c r="DI762">
        <v>0</v>
      </c>
      <c r="DJ762">
        <v>0</v>
      </c>
      <c r="DK762">
        <v>1</v>
      </c>
      <c r="DL762">
        <v>0</v>
      </c>
      <c r="DM762">
        <v>0</v>
      </c>
      <c r="DN762">
        <v>0</v>
      </c>
      <c r="DO762">
        <v>0</v>
      </c>
      <c r="DP762">
        <v>1</v>
      </c>
      <c r="DQ762">
        <v>0</v>
      </c>
      <c r="DR762">
        <v>0</v>
      </c>
      <c r="DS762">
        <v>0</v>
      </c>
    </row>
    <row r="763" spans="1:123" x14ac:dyDescent="0.25">
      <c r="A763" t="str">
        <f>"11/29/2023 20:24:57.508"</f>
        <v>11/29/2023 20:24:57.508</v>
      </c>
      <c r="C763" t="str">
        <f t="shared" si="94"/>
        <v>FFDF53C0</v>
      </c>
      <c r="D763" t="s">
        <v>123</v>
      </c>
      <c r="E763">
        <v>1</v>
      </c>
      <c r="F763">
        <v>1001</v>
      </c>
      <c r="G763" t="s">
        <v>134</v>
      </c>
      <c r="J763" t="s">
        <v>125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"20:24:57.086"</f>
        <v>20:24:57.086</v>
      </c>
      <c r="T763" t="str">
        <f>"20:24:56.986"</f>
        <v>20:24:56.986</v>
      </c>
      <c r="U763" t="str">
        <f t="shared" si="84"/>
        <v>AA0632</v>
      </c>
      <c r="V763">
        <v>0</v>
      </c>
      <c r="W763">
        <v>0</v>
      </c>
      <c r="X763">
        <v>2</v>
      </c>
      <c r="Y763">
        <v>0</v>
      </c>
      <c r="AA763">
        <v>0</v>
      </c>
      <c r="AB763">
        <v>9</v>
      </c>
      <c r="AC763">
        <v>3</v>
      </c>
      <c r="AD763">
        <v>0</v>
      </c>
      <c r="AE763">
        <v>10</v>
      </c>
      <c r="AF763" t="s">
        <v>126</v>
      </c>
      <c r="AG763">
        <v>0</v>
      </c>
      <c r="AH763">
        <v>0</v>
      </c>
      <c r="AI763">
        <v>2</v>
      </c>
      <c r="AJ763">
        <v>0</v>
      </c>
      <c r="AK763" t="s">
        <v>522</v>
      </c>
      <c r="AL763">
        <v>31.922536000000001</v>
      </c>
      <c r="AM763" t="s">
        <v>523</v>
      </c>
      <c r="AN763">
        <v>-101.01939400000001</v>
      </c>
      <c r="AQ763" t="s">
        <v>129</v>
      </c>
      <c r="AR763">
        <v>93</v>
      </c>
      <c r="AS763">
        <v>-5</v>
      </c>
      <c r="AT763">
        <v>0</v>
      </c>
      <c r="BB763" t="str">
        <f t="shared" si="85"/>
        <v>1200</v>
      </c>
      <c r="BC763">
        <v>1</v>
      </c>
      <c r="BD763" t="str">
        <f t="shared" si="95"/>
        <v xml:space="preserve">N745MB  </v>
      </c>
      <c r="BE763">
        <v>1</v>
      </c>
      <c r="BG763">
        <v>0</v>
      </c>
      <c r="BH763">
        <v>0</v>
      </c>
      <c r="BI763">
        <v>0</v>
      </c>
      <c r="BL763" t="s">
        <v>130</v>
      </c>
      <c r="BM763">
        <v>1</v>
      </c>
      <c r="BN763">
        <v>0</v>
      </c>
      <c r="BO763">
        <v>0</v>
      </c>
      <c r="BP763">
        <v>0</v>
      </c>
      <c r="BT763">
        <v>0</v>
      </c>
      <c r="BU763">
        <v>0</v>
      </c>
      <c r="CE763" t="str">
        <f>"20:24:57.090"</f>
        <v>20:24:57.090</v>
      </c>
      <c r="CF763">
        <v>90425682</v>
      </c>
      <c r="CS763">
        <v>0</v>
      </c>
      <c r="CT763">
        <v>2</v>
      </c>
      <c r="CU763">
        <v>0</v>
      </c>
      <c r="CV763">
        <v>2</v>
      </c>
      <c r="CW763">
        <v>0</v>
      </c>
      <c r="CX763">
        <v>5</v>
      </c>
      <c r="CY763">
        <v>7</v>
      </c>
      <c r="CZ763" t="s">
        <v>131</v>
      </c>
      <c r="DA763">
        <v>116</v>
      </c>
      <c r="DB763">
        <v>0</v>
      </c>
      <c r="DC763" t="s">
        <v>132</v>
      </c>
      <c r="DD763" t="s">
        <v>133</v>
      </c>
      <c r="DG763">
        <v>14623286</v>
      </c>
      <c r="DI763">
        <v>0</v>
      </c>
      <c r="DJ763">
        <v>0</v>
      </c>
      <c r="DK763">
        <v>1</v>
      </c>
      <c r="DL763">
        <v>0</v>
      </c>
      <c r="DM763">
        <v>0</v>
      </c>
      <c r="DN763">
        <v>0</v>
      </c>
      <c r="DO763">
        <v>0</v>
      </c>
      <c r="DP763">
        <v>1</v>
      </c>
      <c r="DQ763">
        <v>0</v>
      </c>
      <c r="DR763">
        <v>0</v>
      </c>
      <c r="DS763">
        <v>0</v>
      </c>
    </row>
    <row r="764" spans="1:123" x14ac:dyDescent="0.25">
      <c r="A764" t="str">
        <f>"11/29/2023 20:24:57.508"</f>
        <v>11/29/2023 20:24:57.508</v>
      </c>
      <c r="C764" t="str">
        <f t="shared" si="94"/>
        <v>FFDF53C0</v>
      </c>
      <c r="D764" t="s">
        <v>123</v>
      </c>
      <c r="E764">
        <v>14</v>
      </c>
      <c r="F764">
        <v>1014</v>
      </c>
      <c r="G764" t="s">
        <v>124</v>
      </c>
      <c r="J764" t="s">
        <v>125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"20:24:57.086"</f>
        <v>20:24:57.086</v>
      </c>
      <c r="T764" t="str">
        <f>"20:24:56.986"</f>
        <v>20:24:56.986</v>
      </c>
      <c r="U764" t="str">
        <f t="shared" si="84"/>
        <v>AA0632</v>
      </c>
      <c r="V764">
        <v>0</v>
      </c>
      <c r="W764">
        <v>0</v>
      </c>
      <c r="X764">
        <v>2</v>
      </c>
      <c r="Y764">
        <v>0</v>
      </c>
      <c r="AA764">
        <v>0</v>
      </c>
      <c r="AB764">
        <v>9</v>
      </c>
      <c r="AC764">
        <v>3</v>
      </c>
      <c r="AD764">
        <v>0</v>
      </c>
      <c r="AE764">
        <v>10</v>
      </c>
      <c r="AF764" t="s">
        <v>126</v>
      </c>
      <c r="AG764">
        <v>0</v>
      </c>
      <c r="AH764">
        <v>0</v>
      </c>
      <c r="AI764">
        <v>2</v>
      </c>
      <c r="AJ764">
        <v>0</v>
      </c>
      <c r="AK764" t="s">
        <v>522</v>
      </c>
      <c r="AL764">
        <v>31.922536000000001</v>
      </c>
      <c r="AM764" t="s">
        <v>523</v>
      </c>
      <c r="AN764">
        <v>-101.01939400000001</v>
      </c>
      <c r="AQ764" t="s">
        <v>129</v>
      </c>
      <c r="AR764">
        <v>93</v>
      </c>
      <c r="AS764">
        <v>-5</v>
      </c>
      <c r="AT764">
        <v>0</v>
      </c>
      <c r="BB764" t="str">
        <f t="shared" si="85"/>
        <v>1200</v>
      </c>
      <c r="BC764">
        <v>1</v>
      </c>
      <c r="BD764" t="str">
        <f t="shared" si="95"/>
        <v xml:space="preserve">N745MB  </v>
      </c>
      <c r="BE764">
        <v>1</v>
      </c>
      <c r="BG764">
        <v>0</v>
      </c>
      <c r="BH764">
        <v>0</v>
      </c>
      <c r="BI764">
        <v>0</v>
      </c>
      <c r="BL764" t="s">
        <v>130</v>
      </c>
      <c r="BM764">
        <v>1</v>
      </c>
      <c r="BN764">
        <v>0</v>
      </c>
      <c r="BO764">
        <v>0</v>
      </c>
      <c r="BP764">
        <v>0</v>
      </c>
      <c r="BT764">
        <v>0</v>
      </c>
      <c r="BU764">
        <v>0</v>
      </c>
      <c r="CE764" t="str">
        <f>"20:24:57.090"</f>
        <v>20:24:57.090</v>
      </c>
      <c r="CF764">
        <v>90425682</v>
      </c>
      <c r="CS764">
        <v>0</v>
      </c>
      <c r="CT764">
        <v>2</v>
      </c>
      <c r="CU764">
        <v>0</v>
      </c>
      <c r="CV764">
        <v>2</v>
      </c>
      <c r="CW764">
        <v>0</v>
      </c>
      <c r="CX764">
        <v>5</v>
      </c>
      <c r="CY764">
        <v>7</v>
      </c>
      <c r="CZ764" t="s">
        <v>131</v>
      </c>
      <c r="DA764">
        <v>116</v>
      </c>
      <c r="DB764">
        <v>0</v>
      </c>
      <c r="DC764" t="s">
        <v>132</v>
      </c>
      <c r="DD764" t="s">
        <v>133</v>
      </c>
      <c r="DG764">
        <v>14623286</v>
      </c>
      <c r="DI764">
        <v>0</v>
      </c>
      <c r="DJ764">
        <v>0</v>
      </c>
      <c r="DK764">
        <v>1</v>
      </c>
      <c r="DL764">
        <v>0</v>
      </c>
      <c r="DM764">
        <v>0</v>
      </c>
      <c r="DN764">
        <v>0</v>
      </c>
      <c r="DO764">
        <v>0</v>
      </c>
      <c r="DP764">
        <v>1</v>
      </c>
      <c r="DQ764">
        <v>0</v>
      </c>
      <c r="DR764">
        <v>0</v>
      </c>
      <c r="DS764">
        <v>0</v>
      </c>
    </row>
    <row r="765" spans="1:123" x14ac:dyDescent="0.25">
      <c r="A765" t="str">
        <f>"11/29/2023 20:24:59.024"</f>
        <v>11/29/2023 20:24:59.024</v>
      </c>
      <c r="C765" t="str">
        <f t="shared" si="94"/>
        <v>FFDF53C0</v>
      </c>
      <c r="D765" t="s">
        <v>138</v>
      </c>
      <c r="E765">
        <v>3</v>
      </c>
      <c r="H765">
        <v>160</v>
      </c>
      <c r="I765" t="s">
        <v>124</v>
      </c>
      <c r="J765" t="s">
        <v>139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"20:24:58.680"</f>
        <v>20:24:58.680</v>
      </c>
      <c r="T765" t="str">
        <f>"20:24:58.480"</f>
        <v>20:24:58.480</v>
      </c>
      <c r="U765" t="str">
        <f t="shared" si="84"/>
        <v>AA0632</v>
      </c>
      <c r="V765">
        <v>0</v>
      </c>
      <c r="W765">
        <v>0</v>
      </c>
      <c r="X765">
        <v>2</v>
      </c>
      <c r="Y765">
        <v>0</v>
      </c>
      <c r="AA765">
        <v>0</v>
      </c>
      <c r="AB765">
        <v>9</v>
      </c>
      <c r="AC765">
        <v>3</v>
      </c>
      <c r="AD765">
        <v>0</v>
      </c>
      <c r="AE765">
        <v>10</v>
      </c>
      <c r="AF765" t="s">
        <v>126</v>
      </c>
      <c r="AG765">
        <v>0</v>
      </c>
      <c r="AH765">
        <v>0</v>
      </c>
      <c r="AI765">
        <v>2</v>
      </c>
      <c r="AJ765">
        <v>0</v>
      </c>
      <c r="AK765" t="s">
        <v>524</v>
      </c>
      <c r="AL765">
        <v>31.922492999999999</v>
      </c>
      <c r="AM765" t="s">
        <v>525</v>
      </c>
      <c r="AN765">
        <v>-101.01862199999999</v>
      </c>
      <c r="AQ765" t="s">
        <v>129</v>
      </c>
      <c r="AR765">
        <v>94</v>
      </c>
      <c r="AS765">
        <v>-5</v>
      </c>
      <c r="AT765">
        <v>-128</v>
      </c>
      <c r="BB765" t="str">
        <f t="shared" si="85"/>
        <v>1200</v>
      </c>
      <c r="BC765">
        <v>1</v>
      </c>
      <c r="BD765" t="str">
        <f t="shared" si="95"/>
        <v xml:space="preserve">N745MB  </v>
      </c>
      <c r="BE765">
        <v>1</v>
      </c>
      <c r="BG765">
        <v>0</v>
      </c>
      <c r="BH765">
        <v>0</v>
      </c>
      <c r="BI765">
        <v>0</v>
      </c>
      <c r="BL765" t="s">
        <v>130</v>
      </c>
      <c r="BM765">
        <v>1</v>
      </c>
      <c r="BN765">
        <v>0</v>
      </c>
      <c r="BO765">
        <v>0</v>
      </c>
      <c r="BP765">
        <v>0</v>
      </c>
      <c r="BT765">
        <v>0</v>
      </c>
      <c r="BU765">
        <v>0</v>
      </c>
      <c r="CE765" t="str">
        <f>"20:24:58.686"</f>
        <v>20:24:58.686</v>
      </c>
      <c r="CF765">
        <v>686316351</v>
      </c>
      <c r="CS765">
        <v>0</v>
      </c>
      <c r="CT765">
        <v>2</v>
      </c>
      <c r="CU765">
        <v>0</v>
      </c>
      <c r="CV765">
        <v>2</v>
      </c>
      <c r="CW765">
        <v>0</v>
      </c>
      <c r="CX765">
        <v>5</v>
      </c>
      <c r="CY765">
        <v>7</v>
      </c>
      <c r="CZ765" t="s">
        <v>131</v>
      </c>
      <c r="DA765">
        <v>116</v>
      </c>
      <c r="DB765">
        <v>3</v>
      </c>
      <c r="DC765" t="s">
        <v>132</v>
      </c>
      <c r="DD765" t="s">
        <v>133</v>
      </c>
      <c r="DG765">
        <v>8381068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1</v>
      </c>
      <c r="DQ765">
        <v>0</v>
      </c>
      <c r="DR765">
        <v>0</v>
      </c>
      <c r="DS765">
        <v>0</v>
      </c>
    </row>
    <row r="766" spans="1:123" x14ac:dyDescent="0.25">
      <c r="A766" t="str">
        <f>"11/29/2023 20:24:59.024"</f>
        <v>11/29/2023 20:24:59.024</v>
      </c>
      <c r="C766" t="str">
        <f t="shared" si="94"/>
        <v>FFDF53C0</v>
      </c>
      <c r="D766" t="s">
        <v>135</v>
      </c>
      <c r="E766">
        <v>31</v>
      </c>
      <c r="H766">
        <v>285</v>
      </c>
      <c r="I766" t="s">
        <v>136</v>
      </c>
      <c r="J766" t="s">
        <v>137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"20:24:58.680"</f>
        <v>20:24:58.680</v>
      </c>
      <c r="T766" t="str">
        <f>"20:24:58.480"</f>
        <v>20:24:58.480</v>
      </c>
      <c r="U766" t="str">
        <f t="shared" si="84"/>
        <v>AA0632</v>
      </c>
      <c r="V766">
        <v>0</v>
      </c>
      <c r="W766">
        <v>0</v>
      </c>
      <c r="X766">
        <v>2</v>
      </c>
      <c r="Y766">
        <v>0</v>
      </c>
      <c r="AA766">
        <v>0</v>
      </c>
      <c r="AB766">
        <v>9</v>
      </c>
      <c r="AC766">
        <v>3</v>
      </c>
      <c r="AD766">
        <v>0</v>
      </c>
      <c r="AE766">
        <v>10</v>
      </c>
      <c r="AF766" t="s">
        <v>126</v>
      </c>
      <c r="AG766">
        <v>0</v>
      </c>
      <c r="AH766">
        <v>0</v>
      </c>
      <c r="AI766">
        <v>2</v>
      </c>
      <c r="AJ766">
        <v>0</v>
      </c>
      <c r="AK766" t="s">
        <v>524</v>
      </c>
      <c r="AL766">
        <v>31.922492999999999</v>
      </c>
      <c r="AM766" t="s">
        <v>525</v>
      </c>
      <c r="AN766">
        <v>-101.01862199999999</v>
      </c>
      <c r="AQ766" t="s">
        <v>129</v>
      </c>
      <c r="AR766">
        <v>94</v>
      </c>
      <c r="AS766">
        <v>-5</v>
      </c>
      <c r="AT766">
        <v>-128</v>
      </c>
      <c r="BB766" t="str">
        <f t="shared" si="85"/>
        <v>1200</v>
      </c>
      <c r="BC766">
        <v>1</v>
      </c>
      <c r="BD766" t="str">
        <f t="shared" si="95"/>
        <v xml:space="preserve">N745MB  </v>
      </c>
      <c r="BE766">
        <v>1</v>
      </c>
      <c r="BG766">
        <v>0</v>
      </c>
      <c r="BH766">
        <v>0</v>
      </c>
      <c r="BI766">
        <v>0</v>
      </c>
      <c r="BL766" t="s">
        <v>130</v>
      </c>
      <c r="BM766">
        <v>1</v>
      </c>
      <c r="BN766">
        <v>0</v>
      </c>
      <c r="BO766">
        <v>0</v>
      </c>
      <c r="BP766">
        <v>0</v>
      </c>
      <c r="BT766">
        <v>0</v>
      </c>
      <c r="BU766">
        <v>0</v>
      </c>
      <c r="CE766" t="str">
        <f>"20:24:58.686"</f>
        <v>20:24:58.686</v>
      </c>
      <c r="CF766">
        <v>686316351</v>
      </c>
      <c r="CS766">
        <v>0</v>
      </c>
      <c r="CT766">
        <v>2</v>
      </c>
      <c r="CU766">
        <v>0</v>
      </c>
      <c r="CV766">
        <v>2</v>
      </c>
      <c r="CW766">
        <v>0</v>
      </c>
      <c r="CX766">
        <v>5</v>
      </c>
      <c r="CY766">
        <v>7</v>
      </c>
      <c r="CZ766" t="s">
        <v>131</v>
      </c>
      <c r="DA766">
        <v>116</v>
      </c>
      <c r="DB766">
        <v>3</v>
      </c>
      <c r="DC766" t="s">
        <v>132</v>
      </c>
      <c r="DD766" t="s">
        <v>133</v>
      </c>
      <c r="DG766">
        <v>8381068</v>
      </c>
      <c r="DI766">
        <v>0</v>
      </c>
      <c r="DJ766">
        <v>0</v>
      </c>
      <c r="DK766">
        <v>1</v>
      </c>
      <c r="DL766">
        <v>0</v>
      </c>
      <c r="DM766">
        <v>0</v>
      </c>
      <c r="DN766">
        <v>0</v>
      </c>
      <c r="DO766">
        <v>0</v>
      </c>
      <c r="DP766">
        <v>1</v>
      </c>
      <c r="DQ766">
        <v>0</v>
      </c>
      <c r="DR766">
        <v>0</v>
      </c>
      <c r="DS766">
        <v>0</v>
      </c>
    </row>
    <row r="767" spans="1:123" x14ac:dyDescent="0.25">
      <c r="A767" t="str">
        <f>"11/29/2023 20:24:59.024"</f>
        <v>11/29/2023 20:24:59.024</v>
      </c>
      <c r="C767" t="str">
        <f t="shared" si="94"/>
        <v>FFDF53C0</v>
      </c>
      <c r="D767" t="s">
        <v>123</v>
      </c>
      <c r="E767">
        <v>1</v>
      </c>
      <c r="F767">
        <v>1001</v>
      </c>
      <c r="G767" t="s">
        <v>134</v>
      </c>
      <c r="J767" t="s">
        <v>125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"20:24:58.680"</f>
        <v>20:24:58.680</v>
      </c>
      <c r="T767" t="str">
        <f>"20:24:58.480"</f>
        <v>20:24:58.480</v>
      </c>
      <c r="U767" t="str">
        <f t="shared" si="84"/>
        <v>AA0632</v>
      </c>
      <c r="V767">
        <v>0</v>
      </c>
      <c r="W767">
        <v>0</v>
      </c>
      <c r="X767">
        <v>2</v>
      </c>
      <c r="Y767">
        <v>0</v>
      </c>
      <c r="AA767">
        <v>0</v>
      </c>
      <c r="AB767">
        <v>9</v>
      </c>
      <c r="AC767">
        <v>3</v>
      </c>
      <c r="AD767">
        <v>0</v>
      </c>
      <c r="AE767">
        <v>10</v>
      </c>
      <c r="AF767" t="s">
        <v>126</v>
      </c>
      <c r="AG767">
        <v>0</v>
      </c>
      <c r="AH767">
        <v>0</v>
      </c>
      <c r="AI767">
        <v>2</v>
      </c>
      <c r="AJ767">
        <v>0</v>
      </c>
      <c r="AK767" t="s">
        <v>524</v>
      </c>
      <c r="AL767">
        <v>31.922492999999999</v>
      </c>
      <c r="AM767" t="s">
        <v>525</v>
      </c>
      <c r="AN767">
        <v>-101.01862199999999</v>
      </c>
      <c r="AQ767" t="s">
        <v>129</v>
      </c>
      <c r="AR767">
        <v>94</v>
      </c>
      <c r="AS767">
        <v>-5</v>
      </c>
      <c r="AT767">
        <v>-128</v>
      </c>
      <c r="BB767" t="str">
        <f t="shared" si="85"/>
        <v>1200</v>
      </c>
      <c r="BC767">
        <v>1</v>
      </c>
      <c r="BD767" t="str">
        <f t="shared" si="95"/>
        <v xml:space="preserve">N745MB  </v>
      </c>
      <c r="BE767">
        <v>1</v>
      </c>
      <c r="BG767">
        <v>0</v>
      </c>
      <c r="BH767">
        <v>0</v>
      </c>
      <c r="BI767">
        <v>0</v>
      </c>
      <c r="BL767" t="s">
        <v>130</v>
      </c>
      <c r="BM767">
        <v>1</v>
      </c>
      <c r="BN767">
        <v>0</v>
      </c>
      <c r="BO767">
        <v>0</v>
      </c>
      <c r="BP767">
        <v>0</v>
      </c>
      <c r="BT767">
        <v>0</v>
      </c>
      <c r="BU767">
        <v>0</v>
      </c>
      <c r="CE767" t="str">
        <f>"20:24:58.686"</f>
        <v>20:24:58.686</v>
      </c>
      <c r="CF767">
        <v>686316351</v>
      </c>
      <c r="CS767">
        <v>0</v>
      </c>
      <c r="CT767">
        <v>2</v>
      </c>
      <c r="CU767">
        <v>0</v>
      </c>
      <c r="CV767">
        <v>2</v>
      </c>
      <c r="CW767">
        <v>0</v>
      </c>
      <c r="CX767">
        <v>5</v>
      </c>
      <c r="CY767">
        <v>7</v>
      </c>
      <c r="CZ767" t="s">
        <v>131</v>
      </c>
      <c r="DA767">
        <v>116</v>
      </c>
      <c r="DB767">
        <v>3</v>
      </c>
      <c r="DC767" t="s">
        <v>132</v>
      </c>
      <c r="DD767" t="s">
        <v>133</v>
      </c>
      <c r="DG767">
        <v>8381068</v>
      </c>
      <c r="DI767">
        <v>0</v>
      </c>
      <c r="DJ767">
        <v>0</v>
      </c>
      <c r="DK767">
        <v>1</v>
      </c>
      <c r="DL767">
        <v>0</v>
      </c>
      <c r="DM767">
        <v>0</v>
      </c>
      <c r="DN767">
        <v>0</v>
      </c>
      <c r="DO767">
        <v>0</v>
      </c>
      <c r="DP767">
        <v>1</v>
      </c>
      <c r="DQ767">
        <v>0</v>
      </c>
      <c r="DR767">
        <v>0</v>
      </c>
      <c r="DS767">
        <v>0</v>
      </c>
    </row>
    <row r="768" spans="1:123" x14ac:dyDescent="0.25">
      <c r="A768" t="str">
        <f>"11/29/2023 20:24:59.040"</f>
        <v>11/29/2023 20:24:59.040</v>
      </c>
      <c r="C768" t="str">
        <f t="shared" si="94"/>
        <v>FFDF53C0</v>
      </c>
      <c r="D768" t="s">
        <v>123</v>
      </c>
      <c r="E768">
        <v>14</v>
      </c>
      <c r="F768">
        <v>1014</v>
      </c>
      <c r="G768" t="s">
        <v>124</v>
      </c>
      <c r="J768" t="s">
        <v>125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"20:24:58.680"</f>
        <v>20:24:58.680</v>
      </c>
      <c r="T768" t="str">
        <f>"20:24:58.480"</f>
        <v>20:24:58.480</v>
      </c>
      <c r="U768" t="str">
        <f t="shared" si="84"/>
        <v>AA0632</v>
      </c>
      <c r="V768">
        <v>0</v>
      </c>
      <c r="W768">
        <v>0</v>
      </c>
      <c r="X768">
        <v>2</v>
      </c>
      <c r="Y768">
        <v>0</v>
      </c>
      <c r="AA768">
        <v>0</v>
      </c>
      <c r="AB768">
        <v>9</v>
      </c>
      <c r="AC768">
        <v>3</v>
      </c>
      <c r="AD768">
        <v>0</v>
      </c>
      <c r="AE768">
        <v>10</v>
      </c>
      <c r="AF768" t="s">
        <v>126</v>
      </c>
      <c r="AG768">
        <v>0</v>
      </c>
      <c r="AH768">
        <v>0</v>
      </c>
      <c r="AI768">
        <v>2</v>
      </c>
      <c r="AJ768">
        <v>0</v>
      </c>
      <c r="AK768" t="s">
        <v>524</v>
      </c>
      <c r="AL768">
        <v>31.922492999999999</v>
      </c>
      <c r="AM768" t="s">
        <v>525</v>
      </c>
      <c r="AN768">
        <v>-101.01862199999999</v>
      </c>
      <c r="AQ768" t="s">
        <v>129</v>
      </c>
      <c r="AR768">
        <v>94</v>
      </c>
      <c r="AS768">
        <v>-5</v>
      </c>
      <c r="AT768">
        <v>-128</v>
      </c>
      <c r="BB768" t="str">
        <f t="shared" si="85"/>
        <v>1200</v>
      </c>
      <c r="BC768">
        <v>1</v>
      </c>
      <c r="BD768" t="str">
        <f t="shared" si="95"/>
        <v xml:space="preserve">N745MB  </v>
      </c>
      <c r="BE768">
        <v>1</v>
      </c>
      <c r="BG768">
        <v>0</v>
      </c>
      <c r="BH768">
        <v>0</v>
      </c>
      <c r="BI768">
        <v>0</v>
      </c>
      <c r="BL768" t="s">
        <v>130</v>
      </c>
      <c r="BM768">
        <v>1</v>
      </c>
      <c r="BN768">
        <v>0</v>
      </c>
      <c r="BO768">
        <v>0</v>
      </c>
      <c r="BP768">
        <v>0</v>
      </c>
      <c r="BT768">
        <v>0</v>
      </c>
      <c r="BU768">
        <v>0</v>
      </c>
      <c r="CE768" t="str">
        <f>"20:24:58.686"</f>
        <v>20:24:58.686</v>
      </c>
      <c r="CF768">
        <v>686316351</v>
      </c>
      <c r="CS768">
        <v>0</v>
      </c>
      <c r="CT768">
        <v>2</v>
      </c>
      <c r="CU768">
        <v>0</v>
      </c>
      <c r="CV768">
        <v>2</v>
      </c>
      <c r="CW768">
        <v>0</v>
      </c>
      <c r="CX768">
        <v>5</v>
      </c>
      <c r="CY768">
        <v>7</v>
      </c>
      <c r="CZ768" t="s">
        <v>131</v>
      </c>
      <c r="DA768">
        <v>116</v>
      </c>
      <c r="DB768">
        <v>3</v>
      </c>
      <c r="DC768" t="s">
        <v>132</v>
      </c>
      <c r="DD768" t="s">
        <v>133</v>
      </c>
      <c r="DG768">
        <v>8381068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1</v>
      </c>
      <c r="DQ768">
        <v>0</v>
      </c>
      <c r="DR768">
        <v>0</v>
      </c>
      <c r="DS768">
        <v>0</v>
      </c>
    </row>
    <row r="769" spans="1:123" x14ac:dyDescent="0.25">
      <c r="A769" t="str">
        <f>"11/29/2023 20:24:59.040"</f>
        <v>11/29/2023 20:24:59.040</v>
      </c>
      <c r="C769" t="str">
        <f>"FFD353C0"</f>
        <v>FFD353C0</v>
      </c>
      <c r="D769" t="s">
        <v>164</v>
      </c>
      <c r="E769">
        <v>24</v>
      </c>
      <c r="F769">
        <v>2024</v>
      </c>
      <c r="G769" t="s">
        <v>165</v>
      </c>
      <c r="J769" t="s">
        <v>166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"20:24:58.680"</f>
        <v>20:24:58.680</v>
      </c>
      <c r="T769" t="str">
        <f>"20:24:57.980"</f>
        <v>20:24:57.980</v>
      </c>
      <c r="U769" t="str">
        <f t="shared" si="84"/>
        <v>AA0632</v>
      </c>
      <c r="V769">
        <v>0</v>
      </c>
      <c r="W769">
        <v>0</v>
      </c>
      <c r="X769">
        <v>2</v>
      </c>
      <c r="Y769">
        <v>0</v>
      </c>
      <c r="AA769">
        <v>0</v>
      </c>
      <c r="AB769">
        <v>9</v>
      </c>
      <c r="AC769">
        <v>3</v>
      </c>
      <c r="AD769">
        <v>0</v>
      </c>
      <c r="AE769">
        <v>10</v>
      </c>
      <c r="AF769" t="s">
        <v>126</v>
      </c>
      <c r="AG769">
        <v>0</v>
      </c>
      <c r="AH769">
        <v>0</v>
      </c>
      <c r="AI769">
        <v>2</v>
      </c>
      <c r="AJ769">
        <v>0</v>
      </c>
      <c r="AK769" t="s">
        <v>524</v>
      </c>
      <c r="AL769">
        <v>31.922492999999999</v>
      </c>
      <c r="AM769" t="s">
        <v>525</v>
      </c>
      <c r="AN769">
        <v>-101.01862199999999</v>
      </c>
      <c r="AQ769" t="s">
        <v>129</v>
      </c>
      <c r="AR769">
        <v>94</v>
      </c>
      <c r="AS769">
        <v>-5</v>
      </c>
      <c r="AT769">
        <v>0</v>
      </c>
      <c r="BB769" t="str">
        <f t="shared" si="85"/>
        <v>1200</v>
      </c>
      <c r="BC769">
        <v>1</v>
      </c>
      <c r="BG769">
        <v>0</v>
      </c>
      <c r="BH769">
        <v>0</v>
      </c>
      <c r="BI769">
        <v>0</v>
      </c>
      <c r="BL769" t="s">
        <v>130</v>
      </c>
      <c r="BM769">
        <v>1</v>
      </c>
      <c r="BN769">
        <v>0</v>
      </c>
      <c r="BO769">
        <v>0</v>
      </c>
      <c r="BP769">
        <v>0</v>
      </c>
      <c r="BT769">
        <v>0</v>
      </c>
      <c r="BU769">
        <v>0</v>
      </c>
      <c r="CE769" t="str">
        <f>"20:24:58.686"</f>
        <v>20:24:58.686</v>
      </c>
      <c r="CF769">
        <v>686329679</v>
      </c>
      <c r="CS769">
        <v>0</v>
      </c>
      <c r="CT769">
        <v>2</v>
      </c>
      <c r="CU769">
        <v>0</v>
      </c>
      <c r="CV769">
        <v>2</v>
      </c>
      <c r="CW769">
        <v>0</v>
      </c>
      <c r="CX769">
        <v>2</v>
      </c>
      <c r="CY769">
        <v>7</v>
      </c>
      <c r="CZ769" t="s">
        <v>131</v>
      </c>
      <c r="DA769">
        <v>483</v>
      </c>
      <c r="DB769">
        <v>1</v>
      </c>
      <c r="DC769" t="s">
        <v>169</v>
      </c>
      <c r="DD769" t="s">
        <v>170</v>
      </c>
      <c r="DG769">
        <v>7368055</v>
      </c>
      <c r="DI769">
        <v>0</v>
      </c>
      <c r="DJ769">
        <v>0</v>
      </c>
      <c r="DK769">
        <v>1</v>
      </c>
      <c r="DL769">
        <v>0</v>
      </c>
      <c r="DM769">
        <v>0</v>
      </c>
      <c r="DN769">
        <v>0</v>
      </c>
      <c r="DO769">
        <v>0</v>
      </c>
      <c r="DP769">
        <v>1</v>
      </c>
      <c r="DQ769">
        <v>0</v>
      </c>
      <c r="DR769">
        <v>0</v>
      </c>
      <c r="DS769">
        <v>0</v>
      </c>
    </row>
    <row r="770" spans="1:123" x14ac:dyDescent="0.25">
      <c r="A770" t="str">
        <f>"11/29/2023 20:25:00.711"</f>
        <v>11/29/2023 20:25:00.711</v>
      </c>
      <c r="C770" t="str">
        <f t="shared" ref="C770:C782" si="96">"FFDF53C0"</f>
        <v>FFDF53C0</v>
      </c>
      <c r="D770" t="s">
        <v>138</v>
      </c>
      <c r="E770">
        <v>3</v>
      </c>
      <c r="H770">
        <v>160</v>
      </c>
      <c r="I770" t="s">
        <v>124</v>
      </c>
      <c r="J770" t="s">
        <v>139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"20:25:00.234"</f>
        <v>20:25:00.234</v>
      </c>
      <c r="T770" t="str">
        <f>"20:25:00.034"</f>
        <v>20:25:00.034</v>
      </c>
      <c r="U770" t="str">
        <f t="shared" ref="U770:U833" si="97">"AA0632"</f>
        <v>AA0632</v>
      </c>
      <c r="V770">
        <v>0</v>
      </c>
      <c r="W770">
        <v>0</v>
      </c>
      <c r="X770">
        <v>2</v>
      </c>
      <c r="Y770">
        <v>0</v>
      </c>
      <c r="AA770">
        <v>0</v>
      </c>
      <c r="AB770">
        <v>9</v>
      </c>
      <c r="AC770">
        <v>3</v>
      </c>
      <c r="AD770">
        <v>0</v>
      </c>
      <c r="AE770">
        <v>10</v>
      </c>
      <c r="AF770" t="s">
        <v>126</v>
      </c>
      <c r="AG770">
        <v>0</v>
      </c>
      <c r="AH770">
        <v>0</v>
      </c>
      <c r="AI770">
        <v>2</v>
      </c>
      <c r="AJ770">
        <v>0</v>
      </c>
      <c r="AK770" t="s">
        <v>526</v>
      </c>
      <c r="AL770">
        <v>31.922471999999999</v>
      </c>
      <c r="AM770" t="s">
        <v>527</v>
      </c>
      <c r="AN770">
        <v>-101.017807</v>
      </c>
      <c r="AQ770" t="s">
        <v>129</v>
      </c>
      <c r="AR770">
        <v>94</v>
      </c>
      <c r="AS770">
        <v>-5</v>
      </c>
      <c r="AT770">
        <v>-256</v>
      </c>
      <c r="BB770" t="str">
        <f t="shared" ref="BB770:BB833" si="98">"1200"</f>
        <v>1200</v>
      </c>
      <c r="BC770">
        <v>1</v>
      </c>
      <c r="BD770" t="str">
        <f t="shared" ref="BD770:BD782" si="99">"N745MB  "</f>
        <v xml:space="preserve">N745MB  </v>
      </c>
      <c r="BE770">
        <v>1</v>
      </c>
      <c r="BG770">
        <v>0</v>
      </c>
      <c r="BH770">
        <v>0</v>
      </c>
      <c r="BI770">
        <v>0</v>
      </c>
      <c r="BL770" t="s">
        <v>130</v>
      </c>
      <c r="BM770">
        <v>1</v>
      </c>
      <c r="BN770">
        <v>0</v>
      </c>
      <c r="BO770">
        <v>0</v>
      </c>
      <c r="BP770">
        <v>0</v>
      </c>
      <c r="BT770">
        <v>0</v>
      </c>
      <c r="BU770">
        <v>0</v>
      </c>
      <c r="CE770" t="str">
        <f>"20:25:00.236"</f>
        <v>20:25:00.236</v>
      </c>
      <c r="CF770">
        <v>236214466</v>
      </c>
      <c r="CS770">
        <v>0</v>
      </c>
      <c r="CT770">
        <v>2</v>
      </c>
      <c r="CU770">
        <v>0</v>
      </c>
      <c r="CV770">
        <v>2</v>
      </c>
      <c r="CW770">
        <v>0</v>
      </c>
      <c r="CX770">
        <v>4</v>
      </c>
      <c r="CY770">
        <v>7</v>
      </c>
      <c r="CZ770" t="s">
        <v>131</v>
      </c>
      <c r="DA770">
        <v>116</v>
      </c>
      <c r="DB770">
        <v>3</v>
      </c>
      <c r="DC770" t="s">
        <v>132</v>
      </c>
      <c r="DD770" t="s">
        <v>133</v>
      </c>
      <c r="DG770">
        <v>8381923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1</v>
      </c>
      <c r="DQ770">
        <v>0</v>
      </c>
      <c r="DR770">
        <v>0</v>
      </c>
      <c r="DS770">
        <v>0</v>
      </c>
    </row>
    <row r="771" spans="1:123" x14ac:dyDescent="0.25">
      <c r="A771" t="str">
        <f>"11/29/2023 20:25:00.711"</f>
        <v>11/29/2023 20:25:00.711</v>
      </c>
      <c r="C771" t="str">
        <f t="shared" si="96"/>
        <v>FFDF53C0</v>
      </c>
      <c r="D771" t="s">
        <v>123</v>
      </c>
      <c r="E771">
        <v>1</v>
      </c>
      <c r="F771">
        <v>1001</v>
      </c>
      <c r="G771" t="s">
        <v>134</v>
      </c>
      <c r="J771" t="s">
        <v>125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"20:25:00.234"</f>
        <v>20:25:00.234</v>
      </c>
      <c r="T771" t="str">
        <f>"20:25:00.034"</f>
        <v>20:25:00.034</v>
      </c>
      <c r="U771" t="str">
        <f t="shared" si="97"/>
        <v>AA0632</v>
      </c>
      <c r="V771">
        <v>0</v>
      </c>
      <c r="W771">
        <v>0</v>
      </c>
      <c r="X771">
        <v>2</v>
      </c>
      <c r="Y771">
        <v>0</v>
      </c>
      <c r="AA771">
        <v>0</v>
      </c>
      <c r="AB771">
        <v>9</v>
      </c>
      <c r="AC771">
        <v>3</v>
      </c>
      <c r="AD771">
        <v>0</v>
      </c>
      <c r="AE771">
        <v>10</v>
      </c>
      <c r="AF771" t="s">
        <v>126</v>
      </c>
      <c r="AG771">
        <v>0</v>
      </c>
      <c r="AH771">
        <v>0</v>
      </c>
      <c r="AI771">
        <v>2</v>
      </c>
      <c r="AJ771">
        <v>0</v>
      </c>
      <c r="AK771" t="s">
        <v>526</v>
      </c>
      <c r="AL771">
        <v>31.922471999999999</v>
      </c>
      <c r="AM771" t="s">
        <v>527</v>
      </c>
      <c r="AN771">
        <v>-101.017807</v>
      </c>
      <c r="AQ771" t="s">
        <v>129</v>
      </c>
      <c r="AR771">
        <v>94</v>
      </c>
      <c r="AS771">
        <v>-5</v>
      </c>
      <c r="AT771">
        <v>-256</v>
      </c>
      <c r="BB771" t="str">
        <f t="shared" si="98"/>
        <v>1200</v>
      </c>
      <c r="BC771">
        <v>1</v>
      </c>
      <c r="BD771" t="str">
        <f t="shared" si="99"/>
        <v xml:space="preserve">N745MB  </v>
      </c>
      <c r="BE771">
        <v>1</v>
      </c>
      <c r="BG771">
        <v>0</v>
      </c>
      <c r="BH771">
        <v>0</v>
      </c>
      <c r="BI771">
        <v>0</v>
      </c>
      <c r="BL771" t="s">
        <v>130</v>
      </c>
      <c r="BM771">
        <v>1</v>
      </c>
      <c r="BN771">
        <v>0</v>
      </c>
      <c r="BO771">
        <v>0</v>
      </c>
      <c r="BP771">
        <v>0</v>
      </c>
      <c r="BT771">
        <v>0</v>
      </c>
      <c r="BU771">
        <v>0</v>
      </c>
      <c r="CE771" t="str">
        <f>"20:25:00.236"</f>
        <v>20:25:00.236</v>
      </c>
      <c r="CF771">
        <v>236214466</v>
      </c>
      <c r="CS771">
        <v>0</v>
      </c>
      <c r="CT771">
        <v>2</v>
      </c>
      <c r="CU771">
        <v>0</v>
      </c>
      <c r="CV771">
        <v>2</v>
      </c>
      <c r="CW771">
        <v>0</v>
      </c>
      <c r="CX771">
        <v>4</v>
      </c>
      <c r="CY771">
        <v>7</v>
      </c>
      <c r="CZ771" t="s">
        <v>131</v>
      </c>
      <c r="DA771">
        <v>116</v>
      </c>
      <c r="DB771">
        <v>3</v>
      </c>
      <c r="DC771" t="s">
        <v>132</v>
      </c>
      <c r="DD771" t="s">
        <v>133</v>
      </c>
      <c r="DG771">
        <v>8381923</v>
      </c>
      <c r="DI771">
        <v>0</v>
      </c>
      <c r="DJ771">
        <v>0</v>
      </c>
      <c r="DK771">
        <v>1</v>
      </c>
      <c r="DL771">
        <v>0</v>
      </c>
      <c r="DM771">
        <v>0</v>
      </c>
      <c r="DN771">
        <v>0</v>
      </c>
      <c r="DO771">
        <v>0</v>
      </c>
      <c r="DP771">
        <v>1</v>
      </c>
      <c r="DQ771">
        <v>0</v>
      </c>
      <c r="DR771">
        <v>0</v>
      </c>
      <c r="DS771">
        <v>0</v>
      </c>
    </row>
    <row r="772" spans="1:123" x14ac:dyDescent="0.25">
      <c r="A772" t="str">
        <f>"11/29/2023 20:25:00.711"</f>
        <v>11/29/2023 20:25:00.711</v>
      </c>
      <c r="C772" t="str">
        <f t="shared" si="96"/>
        <v>FFDF53C0</v>
      </c>
      <c r="D772" t="s">
        <v>135</v>
      </c>
      <c r="E772">
        <v>31</v>
      </c>
      <c r="H772">
        <v>285</v>
      </c>
      <c r="I772" t="s">
        <v>136</v>
      </c>
      <c r="J772" t="s">
        <v>137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"20:25:00.234"</f>
        <v>20:25:00.234</v>
      </c>
      <c r="T772" t="str">
        <f>"20:25:00.034"</f>
        <v>20:25:00.034</v>
      </c>
      <c r="U772" t="str">
        <f t="shared" si="97"/>
        <v>AA0632</v>
      </c>
      <c r="V772">
        <v>0</v>
      </c>
      <c r="W772">
        <v>0</v>
      </c>
      <c r="X772">
        <v>2</v>
      </c>
      <c r="Y772">
        <v>0</v>
      </c>
      <c r="AA772">
        <v>0</v>
      </c>
      <c r="AB772">
        <v>9</v>
      </c>
      <c r="AC772">
        <v>3</v>
      </c>
      <c r="AD772">
        <v>0</v>
      </c>
      <c r="AE772">
        <v>10</v>
      </c>
      <c r="AF772" t="s">
        <v>126</v>
      </c>
      <c r="AG772">
        <v>0</v>
      </c>
      <c r="AH772">
        <v>0</v>
      </c>
      <c r="AI772">
        <v>2</v>
      </c>
      <c r="AJ772">
        <v>0</v>
      </c>
      <c r="AK772" t="s">
        <v>526</v>
      </c>
      <c r="AL772">
        <v>31.922471999999999</v>
      </c>
      <c r="AM772" t="s">
        <v>527</v>
      </c>
      <c r="AN772">
        <v>-101.017807</v>
      </c>
      <c r="AQ772" t="s">
        <v>129</v>
      </c>
      <c r="AR772">
        <v>94</v>
      </c>
      <c r="AS772">
        <v>-5</v>
      </c>
      <c r="AT772">
        <v>-256</v>
      </c>
      <c r="BB772" t="str">
        <f t="shared" si="98"/>
        <v>1200</v>
      </c>
      <c r="BC772">
        <v>1</v>
      </c>
      <c r="BD772" t="str">
        <f t="shared" si="99"/>
        <v xml:space="preserve">N745MB  </v>
      </c>
      <c r="BE772">
        <v>1</v>
      </c>
      <c r="BG772">
        <v>0</v>
      </c>
      <c r="BH772">
        <v>0</v>
      </c>
      <c r="BI772">
        <v>0</v>
      </c>
      <c r="BL772" t="s">
        <v>130</v>
      </c>
      <c r="BM772">
        <v>1</v>
      </c>
      <c r="BN772">
        <v>0</v>
      </c>
      <c r="BO772">
        <v>0</v>
      </c>
      <c r="BP772">
        <v>0</v>
      </c>
      <c r="BT772">
        <v>0</v>
      </c>
      <c r="BU772">
        <v>0</v>
      </c>
      <c r="CE772" t="str">
        <f>"20:25:00.236"</f>
        <v>20:25:00.236</v>
      </c>
      <c r="CF772">
        <v>236214466</v>
      </c>
      <c r="CS772">
        <v>0</v>
      </c>
      <c r="CT772">
        <v>2</v>
      </c>
      <c r="CU772">
        <v>0</v>
      </c>
      <c r="CV772">
        <v>2</v>
      </c>
      <c r="CW772">
        <v>0</v>
      </c>
      <c r="CX772">
        <v>4</v>
      </c>
      <c r="CY772">
        <v>7</v>
      </c>
      <c r="CZ772" t="s">
        <v>131</v>
      </c>
      <c r="DA772">
        <v>116</v>
      </c>
      <c r="DB772">
        <v>3</v>
      </c>
      <c r="DC772" t="s">
        <v>132</v>
      </c>
      <c r="DD772" t="s">
        <v>133</v>
      </c>
      <c r="DG772">
        <v>8381923</v>
      </c>
      <c r="DI772">
        <v>0</v>
      </c>
      <c r="DJ772">
        <v>0</v>
      </c>
      <c r="DK772">
        <v>1</v>
      </c>
      <c r="DL772">
        <v>0</v>
      </c>
      <c r="DM772">
        <v>0</v>
      </c>
      <c r="DN772">
        <v>0</v>
      </c>
      <c r="DO772">
        <v>0</v>
      </c>
      <c r="DP772">
        <v>1</v>
      </c>
      <c r="DQ772">
        <v>0</v>
      </c>
      <c r="DR772">
        <v>0</v>
      </c>
      <c r="DS772">
        <v>0</v>
      </c>
    </row>
    <row r="773" spans="1:123" x14ac:dyDescent="0.25">
      <c r="A773" t="str">
        <f>"11/29/2023 20:25:00.711"</f>
        <v>11/29/2023 20:25:00.711</v>
      </c>
      <c r="C773" t="str">
        <f t="shared" si="96"/>
        <v>FFDF53C0</v>
      </c>
      <c r="D773" t="s">
        <v>123</v>
      </c>
      <c r="E773">
        <v>14</v>
      </c>
      <c r="F773">
        <v>1014</v>
      </c>
      <c r="G773" t="s">
        <v>124</v>
      </c>
      <c r="J773" t="s">
        <v>125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>"20:25:00.234"</f>
        <v>20:25:00.234</v>
      </c>
      <c r="T773" t="str">
        <f>"20:25:00.034"</f>
        <v>20:25:00.034</v>
      </c>
      <c r="U773" t="str">
        <f t="shared" si="97"/>
        <v>AA0632</v>
      </c>
      <c r="V773">
        <v>0</v>
      </c>
      <c r="W773">
        <v>0</v>
      </c>
      <c r="X773">
        <v>2</v>
      </c>
      <c r="Y773">
        <v>0</v>
      </c>
      <c r="AA773">
        <v>0</v>
      </c>
      <c r="AB773">
        <v>9</v>
      </c>
      <c r="AC773">
        <v>3</v>
      </c>
      <c r="AD773">
        <v>0</v>
      </c>
      <c r="AE773">
        <v>10</v>
      </c>
      <c r="AF773" t="s">
        <v>126</v>
      </c>
      <c r="AG773">
        <v>0</v>
      </c>
      <c r="AH773">
        <v>0</v>
      </c>
      <c r="AI773">
        <v>2</v>
      </c>
      <c r="AJ773">
        <v>0</v>
      </c>
      <c r="AK773" t="s">
        <v>526</v>
      </c>
      <c r="AL773">
        <v>31.922471999999999</v>
      </c>
      <c r="AM773" t="s">
        <v>527</v>
      </c>
      <c r="AN773">
        <v>-101.017807</v>
      </c>
      <c r="AQ773" t="s">
        <v>129</v>
      </c>
      <c r="AR773">
        <v>94</v>
      </c>
      <c r="AS773">
        <v>-5</v>
      </c>
      <c r="AT773">
        <v>-256</v>
      </c>
      <c r="BB773" t="str">
        <f t="shared" si="98"/>
        <v>1200</v>
      </c>
      <c r="BC773">
        <v>1</v>
      </c>
      <c r="BD773" t="str">
        <f t="shared" si="99"/>
        <v xml:space="preserve">N745MB  </v>
      </c>
      <c r="BE773">
        <v>1</v>
      </c>
      <c r="BG773">
        <v>0</v>
      </c>
      <c r="BH773">
        <v>0</v>
      </c>
      <c r="BI773">
        <v>0</v>
      </c>
      <c r="BL773" t="s">
        <v>130</v>
      </c>
      <c r="BM773">
        <v>1</v>
      </c>
      <c r="BN773">
        <v>0</v>
      </c>
      <c r="BO773">
        <v>0</v>
      </c>
      <c r="BP773">
        <v>0</v>
      </c>
      <c r="BT773">
        <v>0</v>
      </c>
      <c r="BU773">
        <v>0</v>
      </c>
      <c r="CE773" t="str">
        <f>"20:25:00.236"</f>
        <v>20:25:00.236</v>
      </c>
      <c r="CF773">
        <v>236214466</v>
      </c>
      <c r="CS773">
        <v>0</v>
      </c>
      <c r="CT773">
        <v>2</v>
      </c>
      <c r="CU773">
        <v>0</v>
      </c>
      <c r="CV773">
        <v>2</v>
      </c>
      <c r="CW773">
        <v>0</v>
      </c>
      <c r="CX773">
        <v>4</v>
      </c>
      <c r="CY773">
        <v>7</v>
      </c>
      <c r="CZ773" t="s">
        <v>131</v>
      </c>
      <c r="DA773">
        <v>116</v>
      </c>
      <c r="DB773">
        <v>3</v>
      </c>
      <c r="DC773" t="s">
        <v>132</v>
      </c>
      <c r="DD773" t="s">
        <v>133</v>
      </c>
      <c r="DG773">
        <v>8381923</v>
      </c>
      <c r="DI773">
        <v>0</v>
      </c>
      <c r="DJ773">
        <v>0</v>
      </c>
      <c r="DK773">
        <v>1</v>
      </c>
      <c r="DL773">
        <v>0</v>
      </c>
      <c r="DM773">
        <v>0</v>
      </c>
      <c r="DN773">
        <v>0</v>
      </c>
      <c r="DO773">
        <v>0</v>
      </c>
      <c r="DP773">
        <v>1</v>
      </c>
      <c r="DQ773">
        <v>0</v>
      </c>
      <c r="DR773">
        <v>0</v>
      </c>
      <c r="DS773">
        <v>0</v>
      </c>
    </row>
    <row r="774" spans="1:123" x14ac:dyDescent="0.25">
      <c r="A774" t="str">
        <f>"11/29/2023 20:25:02.258"</f>
        <v>11/29/2023 20:25:02.258</v>
      </c>
      <c r="C774" t="str">
        <f t="shared" si="96"/>
        <v>FFDF53C0</v>
      </c>
      <c r="D774" t="s">
        <v>138</v>
      </c>
      <c r="E774">
        <v>3</v>
      </c>
      <c r="H774">
        <v>160</v>
      </c>
      <c r="I774" t="s">
        <v>124</v>
      </c>
      <c r="J774" t="s">
        <v>139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"20:25:01.844"</f>
        <v>20:25:01.844</v>
      </c>
      <c r="T774" t="str">
        <f>"20:25:01.644"</f>
        <v>20:25:01.644</v>
      </c>
      <c r="U774" t="str">
        <f t="shared" si="97"/>
        <v>AA0632</v>
      </c>
      <c r="V774">
        <v>0</v>
      </c>
      <c r="W774">
        <v>0</v>
      </c>
      <c r="X774">
        <v>2</v>
      </c>
      <c r="Y774">
        <v>0</v>
      </c>
      <c r="AA774">
        <v>0</v>
      </c>
      <c r="AB774">
        <v>9</v>
      </c>
      <c r="AC774">
        <v>3</v>
      </c>
      <c r="AD774">
        <v>0</v>
      </c>
      <c r="AE774">
        <v>10</v>
      </c>
      <c r="AF774" t="s">
        <v>126</v>
      </c>
      <c r="AG774">
        <v>0</v>
      </c>
      <c r="AH774">
        <v>0</v>
      </c>
      <c r="AI774">
        <v>2</v>
      </c>
      <c r="AJ774">
        <v>0</v>
      </c>
      <c r="AK774" t="s">
        <v>528</v>
      </c>
      <c r="AL774">
        <v>31.922429000000001</v>
      </c>
      <c r="AM774" t="s">
        <v>529</v>
      </c>
      <c r="AN774">
        <v>-101.01697</v>
      </c>
      <c r="AQ774" t="s">
        <v>129</v>
      </c>
      <c r="AR774">
        <v>94</v>
      </c>
      <c r="AS774">
        <v>-5</v>
      </c>
      <c r="AT774">
        <v>-128</v>
      </c>
      <c r="BB774" t="str">
        <f t="shared" si="98"/>
        <v>1200</v>
      </c>
      <c r="BC774">
        <v>1</v>
      </c>
      <c r="BD774" t="str">
        <f t="shared" si="99"/>
        <v xml:space="preserve">N745MB  </v>
      </c>
      <c r="BE774">
        <v>1</v>
      </c>
      <c r="BG774">
        <v>0</v>
      </c>
      <c r="BH774">
        <v>0</v>
      </c>
      <c r="BI774">
        <v>0</v>
      </c>
      <c r="BL774" t="s">
        <v>130</v>
      </c>
      <c r="BM774">
        <v>1</v>
      </c>
      <c r="BN774">
        <v>0</v>
      </c>
      <c r="BO774">
        <v>0</v>
      </c>
      <c r="BP774">
        <v>0</v>
      </c>
      <c r="BT774">
        <v>0</v>
      </c>
      <c r="BU774">
        <v>0</v>
      </c>
      <c r="CE774" t="str">
        <f>"20:25:01.850"</f>
        <v>20:25:01.850</v>
      </c>
      <c r="CF774">
        <v>850106350</v>
      </c>
      <c r="CS774">
        <v>0</v>
      </c>
      <c r="CT774">
        <v>2</v>
      </c>
      <c r="CU774">
        <v>0</v>
      </c>
      <c r="CV774">
        <v>2</v>
      </c>
      <c r="CW774">
        <v>0</v>
      </c>
      <c r="CX774">
        <v>4</v>
      </c>
      <c r="CY774">
        <v>7</v>
      </c>
      <c r="CZ774" t="s">
        <v>131</v>
      </c>
      <c r="DA774">
        <v>116</v>
      </c>
      <c r="DB774">
        <v>0</v>
      </c>
      <c r="DC774" t="s">
        <v>132</v>
      </c>
      <c r="DD774" t="s">
        <v>133</v>
      </c>
      <c r="DG774">
        <v>14627229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1</v>
      </c>
      <c r="DQ774">
        <v>0</v>
      </c>
      <c r="DR774">
        <v>0</v>
      </c>
      <c r="DS774">
        <v>0</v>
      </c>
    </row>
    <row r="775" spans="1:123" x14ac:dyDescent="0.25">
      <c r="A775" t="str">
        <f>"11/29/2023 20:25:02.258"</f>
        <v>11/29/2023 20:25:02.258</v>
      </c>
      <c r="C775" t="str">
        <f t="shared" si="96"/>
        <v>FFDF53C0</v>
      </c>
      <c r="D775" t="s">
        <v>123</v>
      </c>
      <c r="E775">
        <v>14</v>
      </c>
      <c r="F775">
        <v>1014</v>
      </c>
      <c r="G775" t="s">
        <v>124</v>
      </c>
      <c r="J775" t="s">
        <v>125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"20:25:01.844"</f>
        <v>20:25:01.844</v>
      </c>
      <c r="T775" t="str">
        <f>"20:25:01.644"</f>
        <v>20:25:01.644</v>
      </c>
      <c r="U775" t="str">
        <f t="shared" si="97"/>
        <v>AA0632</v>
      </c>
      <c r="V775">
        <v>0</v>
      </c>
      <c r="W775">
        <v>0</v>
      </c>
      <c r="X775">
        <v>2</v>
      </c>
      <c r="Y775">
        <v>0</v>
      </c>
      <c r="AA775">
        <v>0</v>
      </c>
      <c r="AB775">
        <v>9</v>
      </c>
      <c r="AC775">
        <v>3</v>
      </c>
      <c r="AD775">
        <v>0</v>
      </c>
      <c r="AE775">
        <v>10</v>
      </c>
      <c r="AF775" t="s">
        <v>126</v>
      </c>
      <c r="AG775">
        <v>0</v>
      </c>
      <c r="AH775">
        <v>0</v>
      </c>
      <c r="AI775">
        <v>2</v>
      </c>
      <c r="AJ775">
        <v>0</v>
      </c>
      <c r="AK775" t="s">
        <v>528</v>
      </c>
      <c r="AL775">
        <v>31.922429000000001</v>
      </c>
      <c r="AM775" t="s">
        <v>529</v>
      </c>
      <c r="AN775">
        <v>-101.01697</v>
      </c>
      <c r="AQ775" t="s">
        <v>129</v>
      </c>
      <c r="AR775">
        <v>94</v>
      </c>
      <c r="AS775">
        <v>-5</v>
      </c>
      <c r="AT775">
        <v>-128</v>
      </c>
      <c r="BB775" t="str">
        <f t="shared" si="98"/>
        <v>1200</v>
      </c>
      <c r="BC775">
        <v>1</v>
      </c>
      <c r="BD775" t="str">
        <f t="shared" si="99"/>
        <v xml:space="preserve">N745MB  </v>
      </c>
      <c r="BE775">
        <v>1</v>
      </c>
      <c r="BG775">
        <v>0</v>
      </c>
      <c r="BH775">
        <v>0</v>
      </c>
      <c r="BI775">
        <v>0</v>
      </c>
      <c r="BL775" t="s">
        <v>130</v>
      </c>
      <c r="BM775">
        <v>1</v>
      </c>
      <c r="BN775">
        <v>0</v>
      </c>
      <c r="BO775">
        <v>0</v>
      </c>
      <c r="BP775">
        <v>0</v>
      </c>
      <c r="BT775">
        <v>0</v>
      </c>
      <c r="BU775">
        <v>0</v>
      </c>
      <c r="CE775" t="str">
        <f>"20:25:01.850"</f>
        <v>20:25:01.850</v>
      </c>
      <c r="CF775">
        <v>850106350</v>
      </c>
      <c r="CS775">
        <v>0</v>
      </c>
      <c r="CT775">
        <v>2</v>
      </c>
      <c r="CU775">
        <v>0</v>
      </c>
      <c r="CV775">
        <v>2</v>
      </c>
      <c r="CW775">
        <v>0</v>
      </c>
      <c r="CX775">
        <v>4</v>
      </c>
      <c r="CY775">
        <v>7</v>
      </c>
      <c r="CZ775" t="s">
        <v>131</v>
      </c>
      <c r="DA775">
        <v>116</v>
      </c>
      <c r="DB775">
        <v>0</v>
      </c>
      <c r="DC775" t="s">
        <v>132</v>
      </c>
      <c r="DD775" t="s">
        <v>133</v>
      </c>
      <c r="DG775">
        <v>14627229</v>
      </c>
      <c r="DI775">
        <v>0</v>
      </c>
      <c r="DJ775">
        <v>0</v>
      </c>
      <c r="DK775">
        <v>1</v>
      </c>
      <c r="DL775">
        <v>0</v>
      </c>
      <c r="DM775">
        <v>0</v>
      </c>
      <c r="DN775">
        <v>0</v>
      </c>
      <c r="DO775">
        <v>0</v>
      </c>
      <c r="DP775">
        <v>1</v>
      </c>
      <c r="DQ775">
        <v>0</v>
      </c>
      <c r="DR775">
        <v>0</v>
      </c>
      <c r="DS775">
        <v>0</v>
      </c>
    </row>
    <row r="776" spans="1:123" x14ac:dyDescent="0.25">
      <c r="A776" t="str">
        <f>"11/29/2023 20:25:02.258"</f>
        <v>11/29/2023 20:25:02.258</v>
      </c>
      <c r="C776" t="str">
        <f t="shared" si="96"/>
        <v>FFDF53C0</v>
      </c>
      <c r="D776" t="s">
        <v>123</v>
      </c>
      <c r="E776">
        <v>1</v>
      </c>
      <c r="F776">
        <v>1001</v>
      </c>
      <c r="G776" t="s">
        <v>134</v>
      </c>
      <c r="J776" t="s">
        <v>125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"20:25:01.844"</f>
        <v>20:25:01.844</v>
      </c>
      <c r="T776" t="str">
        <f>"20:25:01.644"</f>
        <v>20:25:01.644</v>
      </c>
      <c r="U776" t="str">
        <f t="shared" si="97"/>
        <v>AA0632</v>
      </c>
      <c r="V776">
        <v>0</v>
      </c>
      <c r="W776">
        <v>0</v>
      </c>
      <c r="X776">
        <v>2</v>
      </c>
      <c r="Y776">
        <v>0</v>
      </c>
      <c r="AA776">
        <v>0</v>
      </c>
      <c r="AB776">
        <v>9</v>
      </c>
      <c r="AC776">
        <v>3</v>
      </c>
      <c r="AD776">
        <v>0</v>
      </c>
      <c r="AE776">
        <v>10</v>
      </c>
      <c r="AF776" t="s">
        <v>126</v>
      </c>
      <c r="AG776">
        <v>0</v>
      </c>
      <c r="AH776">
        <v>0</v>
      </c>
      <c r="AI776">
        <v>2</v>
      </c>
      <c r="AJ776">
        <v>0</v>
      </c>
      <c r="AK776" t="s">
        <v>528</v>
      </c>
      <c r="AL776">
        <v>31.922429000000001</v>
      </c>
      <c r="AM776" t="s">
        <v>529</v>
      </c>
      <c r="AN776">
        <v>-101.01697</v>
      </c>
      <c r="AQ776" t="s">
        <v>129</v>
      </c>
      <c r="AR776">
        <v>94</v>
      </c>
      <c r="AS776">
        <v>-5</v>
      </c>
      <c r="AT776">
        <v>-128</v>
      </c>
      <c r="BB776" t="str">
        <f t="shared" si="98"/>
        <v>1200</v>
      </c>
      <c r="BC776">
        <v>1</v>
      </c>
      <c r="BD776" t="str">
        <f t="shared" si="99"/>
        <v xml:space="preserve">N745MB  </v>
      </c>
      <c r="BE776">
        <v>1</v>
      </c>
      <c r="BG776">
        <v>0</v>
      </c>
      <c r="BH776">
        <v>0</v>
      </c>
      <c r="BI776">
        <v>0</v>
      </c>
      <c r="BL776" t="s">
        <v>130</v>
      </c>
      <c r="BM776">
        <v>1</v>
      </c>
      <c r="BN776">
        <v>0</v>
      </c>
      <c r="BO776">
        <v>0</v>
      </c>
      <c r="BP776">
        <v>0</v>
      </c>
      <c r="BT776">
        <v>0</v>
      </c>
      <c r="BU776">
        <v>0</v>
      </c>
      <c r="CE776" t="str">
        <f>"20:25:01.850"</f>
        <v>20:25:01.850</v>
      </c>
      <c r="CF776">
        <v>850106350</v>
      </c>
      <c r="CS776">
        <v>0</v>
      </c>
      <c r="CT776">
        <v>2</v>
      </c>
      <c r="CU776">
        <v>0</v>
      </c>
      <c r="CV776">
        <v>2</v>
      </c>
      <c r="CW776">
        <v>0</v>
      </c>
      <c r="CX776">
        <v>4</v>
      </c>
      <c r="CY776">
        <v>7</v>
      </c>
      <c r="CZ776" t="s">
        <v>131</v>
      </c>
      <c r="DA776">
        <v>116</v>
      </c>
      <c r="DB776">
        <v>0</v>
      </c>
      <c r="DC776" t="s">
        <v>132</v>
      </c>
      <c r="DD776" t="s">
        <v>133</v>
      </c>
      <c r="DG776">
        <v>14627229</v>
      </c>
      <c r="DI776">
        <v>0</v>
      </c>
      <c r="DJ776">
        <v>0</v>
      </c>
      <c r="DK776">
        <v>1</v>
      </c>
      <c r="DL776">
        <v>0</v>
      </c>
      <c r="DM776">
        <v>0</v>
      </c>
      <c r="DN776">
        <v>0</v>
      </c>
      <c r="DO776">
        <v>0</v>
      </c>
      <c r="DP776">
        <v>1</v>
      </c>
      <c r="DQ776">
        <v>0</v>
      </c>
      <c r="DR776">
        <v>0</v>
      </c>
      <c r="DS776">
        <v>0</v>
      </c>
    </row>
    <row r="777" spans="1:123" x14ac:dyDescent="0.25">
      <c r="A777" t="str">
        <f>"11/29/2023 20:25:02.258"</f>
        <v>11/29/2023 20:25:02.258</v>
      </c>
      <c r="C777" t="str">
        <f t="shared" si="96"/>
        <v>FFDF53C0</v>
      </c>
      <c r="D777" t="s">
        <v>135</v>
      </c>
      <c r="E777">
        <v>31</v>
      </c>
      <c r="H777">
        <v>285</v>
      </c>
      <c r="I777" t="s">
        <v>136</v>
      </c>
      <c r="J777" t="s">
        <v>137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"20:25:01.844"</f>
        <v>20:25:01.844</v>
      </c>
      <c r="T777" t="str">
        <f>"20:25:01.644"</f>
        <v>20:25:01.644</v>
      </c>
      <c r="U777" t="str">
        <f t="shared" si="97"/>
        <v>AA0632</v>
      </c>
      <c r="V777">
        <v>0</v>
      </c>
      <c r="W777">
        <v>0</v>
      </c>
      <c r="X777">
        <v>2</v>
      </c>
      <c r="Y777">
        <v>0</v>
      </c>
      <c r="AA777">
        <v>0</v>
      </c>
      <c r="AB777">
        <v>9</v>
      </c>
      <c r="AC777">
        <v>3</v>
      </c>
      <c r="AD777">
        <v>0</v>
      </c>
      <c r="AE777">
        <v>10</v>
      </c>
      <c r="AF777" t="s">
        <v>126</v>
      </c>
      <c r="AG777">
        <v>0</v>
      </c>
      <c r="AH777">
        <v>0</v>
      </c>
      <c r="AI777">
        <v>2</v>
      </c>
      <c r="AJ777">
        <v>0</v>
      </c>
      <c r="AK777" t="s">
        <v>528</v>
      </c>
      <c r="AL777">
        <v>31.922429000000001</v>
      </c>
      <c r="AM777" t="s">
        <v>529</v>
      </c>
      <c r="AN777">
        <v>-101.01697</v>
      </c>
      <c r="AQ777" t="s">
        <v>129</v>
      </c>
      <c r="AR777">
        <v>94</v>
      </c>
      <c r="AS777">
        <v>-5</v>
      </c>
      <c r="AT777">
        <v>-128</v>
      </c>
      <c r="BB777" t="str">
        <f t="shared" si="98"/>
        <v>1200</v>
      </c>
      <c r="BC777">
        <v>1</v>
      </c>
      <c r="BD777" t="str">
        <f t="shared" si="99"/>
        <v xml:space="preserve">N745MB  </v>
      </c>
      <c r="BE777">
        <v>1</v>
      </c>
      <c r="BG777">
        <v>0</v>
      </c>
      <c r="BH777">
        <v>0</v>
      </c>
      <c r="BI777">
        <v>0</v>
      </c>
      <c r="BL777" t="s">
        <v>130</v>
      </c>
      <c r="BM777">
        <v>1</v>
      </c>
      <c r="BN777">
        <v>0</v>
      </c>
      <c r="BO777">
        <v>0</v>
      </c>
      <c r="BP777">
        <v>0</v>
      </c>
      <c r="BT777">
        <v>0</v>
      </c>
      <c r="BU777">
        <v>0</v>
      </c>
      <c r="CE777" t="str">
        <f>"20:25:01.850"</f>
        <v>20:25:01.850</v>
      </c>
      <c r="CF777">
        <v>850106350</v>
      </c>
      <c r="CS777">
        <v>0</v>
      </c>
      <c r="CT777">
        <v>2</v>
      </c>
      <c r="CU777">
        <v>0</v>
      </c>
      <c r="CV777">
        <v>2</v>
      </c>
      <c r="CW777">
        <v>0</v>
      </c>
      <c r="CX777">
        <v>4</v>
      </c>
      <c r="CY777">
        <v>7</v>
      </c>
      <c r="CZ777" t="s">
        <v>131</v>
      </c>
      <c r="DA777">
        <v>116</v>
      </c>
      <c r="DB777">
        <v>0</v>
      </c>
      <c r="DC777" t="s">
        <v>132</v>
      </c>
      <c r="DD777" t="s">
        <v>133</v>
      </c>
      <c r="DG777">
        <v>14627229</v>
      </c>
      <c r="DI777">
        <v>0</v>
      </c>
      <c r="DJ777">
        <v>0</v>
      </c>
      <c r="DK777">
        <v>1</v>
      </c>
      <c r="DL777">
        <v>0</v>
      </c>
      <c r="DM777">
        <v>0</v>
      </c>
      <c r="DN777">
        <v>0</v>
      </c>
      <c r="DO777">
        <v>0</v>
      </c>
      <c r="DP777">
        <v>1</v>
      </c>
      <c r="DQ777">
        <v>0</v>
      </c>
      <c r="DR777">
        <v>0</v>
      </c>
      <c r="DS777">
        <v>0</v>
      </c>
    </row>
    <row r="778" spans="1:123" x14ac:dyDescent="0.25">
      <c r="A778" t="str">
        <f>"11/29/2023 20:25:03.852"</f>
        <v>11/29/2023 20:25:03.852</v>
      </c>
      <c r="C778" t="str">
        <f t="shared" si="96"/>
        <v>FFDF53C0</v>
      </c>
      <c r="D778" t="s">
        <v>135</v>
      </c>
      <c r="E778">
        <v>31</v>
      </c>
      <c r="H778">
        <v>285</v>
      </c>
      <c r="I778" t="s">
        <v>136</v>
      </c>
      <c r="J778" t="s">
        <v>137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"20:25:03.383"</f>
        <v>20:25:03.383</v>
      </c>
      <c r="T778" t="str">
        <f>"20:25:03.183"</f>
        <v>20:25:03.183</v>
      </c>
      <c r="U778" t="str">
        <f t="shared" si="97"/>
        <v>AA0632</v>
      </c>
      <c r="V778">
        <v>0</v>
      </c>
      <c r="W778">
        <v>0</v>
      </c>
      <c r="X778">
        <v>2</v>
      </c>
      <c r="Y778">
        <v>0</v>
      </c>
      <c r="AA778">
        <v>0</v>
      </c>
      <c r="AB778">
        <v>9</v>
      </c>
      <c r="AC778">
        <v>3</v>
      </c>
      <c r="AD778">
        <v>0</v>
      </c>
      <c r="AE778">
        <v>10</v>
      </c>
      <c r="AF778" t="s">
        <v>126</v>
      </c>
      <c r="AG778">
        <v>0</v>
      </c>
      <c r="AH778">
        <v>0</v>
      </c>
      <c r="AI778">
        <v>2</v>
      </c>
      <c r="AJ778">
        <v>0</v>
      </c>
      <c r="AK778" t="s">
        <v>530</v>
      </c>
      <c r="AL778">
        <v>31.922407</v>
      </c>
      <c r="AM778" t="s">
        <v>531</v>
      </c>
      <c r="AN778">
        <v>-101.01619700000001</v>
      </c>
      <c r="AQ778" t="s">
        <v>129</v>
      </c>
      <c r="AR778">
        <v>93</v>
      </c>
      <c r="AS778">
        <v>-5</v>
      </c>
      <c r="AT778">
        <v>-64</v>
      </c>
      <c r="BB778" t="str">
        <f t="shared" si="98"/>
        <v>1200</v>
      </c>
      <c r="BC778">
        <v>1</v>
      </c>
      <c r="BD778" t="str">
        <f t="shared" si="99"/>
        <v xml:space="preserve">N745MB  </v>
      </c>
      <c r="BE778">
        <v>1</v>
      </c>
      <c r="BG778">
        <v>0</v>
      </c>
      <c r="BH778">
        <v>0</v>
      </c>
      <c r="BI778">
        <v>0</v>
      </c>
      <c r="BL778" t="s">
        <v>130</v>
      </c>
      <c r="BM778">
        <v>1</v>
      </c>
      <c r="BN778">
        <v>0</v>
      </c>
      <c r="BO778">
        <v>0</v>
      </c>
      <c r="BP778">
        <v>0</v>
      </c>
      <c r="BT778">
        <v>0</v>
      </c>
      <c r="BU778">
        <v>0</v>
      </c>
      <c r="CE778" t="str">
        <f>"20:25:03.384"</f>
        <v>20:25:03.384</v>
      </c>
      <c r="CF778">
        <v>384001081</v>
      </c>
      <c r="CS778">
        <v>0</v>
      </c>
      <c r="CT778">
        <v>2</v>
      </c>
      <c r="CU778">
        <v>0</v>
      </c>
      <c r="CV778">
        <v>2</v>
      </c>
      <c r="CW778">
        <v>0</v>
      </c>
      <c r="CX778">
        <v>4</v>
      </c>
      <c r="CY778">
        <v>7</v>
      </c>
      <c r="CZ778" t="s">
        <v>131</v>
      </c>
      <c r="DA778">
        <v>116</v>
      </c>
      <c r="DB778">
        <v>3</v>
      </c>
      <c r="DC778" t="s">
        <v>132</v>
      </c>
      <c r="DD778" t="s">
        <v>133</v>
      </c>
      <c r="DG778">
        <v>8383635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1</v>
      </c>
      <c r="DQ778">
        <v>0</v>
      </c>
      <c r="DR778">
        <v>0</v>
      </c>
      <c r="DS778">
        <v>0</v>
      </c>
    </row>
    <row r="779" spans="1:123" x14ac:dyDescent="0.25">
      <c r="A779" t="str">
        <f>"11/29/2023 20:25:03.852"</f>
        <v>11/29/2023 20:25:03.852</v>
      </c>
      <c r="C779" t="str">
        <f t="shared" si="96"/>
        <v>FFDF53C0</v>
      </c>
      <c r="D779" t="s">
        <v>138</v>
      </c>
      <c r="E779">
        <v>3</v>
      </c>
      <c r="H779">
        <v>160</v>
      </c>
      <c r="I779" t="s">
        <v>124</v>
      </c>
      <c r="J779" t="s">
        <v>139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"20:25:03.383"</f>
        <v>20:25:03.383</v>
      </c>
      <c r="T779" t="str">
        <f>"20:25:03.183"</f>
        <v>20:25:03.183</v>
      </c>
      <c r="U779" t="str">
        <f t="shared" si="97"/>
        <v>AA0632</v>
      </c>
      <c r="V779">
        <v>0</v>
      </c>
      <c r="W779">
        <v>0</v>
      </c>
      <c r="X779">
        <v>2</v>
      </c>
      <c r="Y779">
        <v>0</v>
      </c>
      <c r="AA779">
        <v>0</v>
      </c>
      <c r="AB779">
        <v>9</v>
      </c>
      <c r="AC779">
        <v>3</v>
      </c>
      <c r="AD779">
        <v>0</v>
      </c>
      <c r="AE779">
        <v>10</v>
      </c>
      <c r="AF779" t="s">
        <v>126</v>
      </c>
      <c r="AG779">
        <v>0</v>
      </c>
      <c r="AH779">
        <v>0</v>
      </c>
      <c r="AI779">
        <v>2</v>
      </c>
      <c r="AJ779">
        <v>0</v>
      </c>
      <c r="AK779" t="s">
        <v>530</v>
      </c>
      <c r="AL779">
        <v>31.922407</v>
      </c>
      <c r="AM779" t="s">
        <v>531</v>
      </c>
      <c r="AN779">
        <v>-101.01619700000001</v>
      </c>
      <c r="AQ779" t="s">
        <v>129</v>
      </c>
      <c r="AR779">
        <v>93</v>
      </c>
      <c r="AS779">
        <v>-5</v>
      </c>
      <c r="AT779">
        <v>-64</v>
      </c>
      <c r="BB779" t="str">
        <f t="shared" si="98"/>
        <v>1200</v>
      </c>
      <c r="BC779">
        <v>1</v>
      </c>
      <c r="BD779" t="str">
        <f t="shared" si="99"/>
        <v xml:space="preserve">N745MB  </v>
      </c>
      <c r="BE779">
        <v>1</v>
      </c>
      <c r="BG779">
        <v>0</v>
      </c>
      <c r="BH779">
        <v>0</v>
      </c>
      <c r="BI779">
        <v>0</v>
      </c>
      <c r="BL779" t="s">
        <v>130</v>
      </c>
      <c r="BM779">
        <v>1</v>
      </c>
      <c r="BN779">
        <v>0</v>
      </c>
      <c r="BO779">
        <v>0</v>
      </c>
      <c r="BP779">
        <v>0</v>
      </c>
      <c r="BT779">
        <v>0</v>
      </c>
      <c r="BU779">
        <v>0</v>
      </c>
      <c r="CE779" t="str">
        <f>"20:25:03.384"</f>
        <v>20:25:03.384</v>
      </c>
      <c r="CF779">
        <v>384001081</v>
      </c>
      <c r="CS779">
        <v>0</v>
      </c>
      <c r="CT779">
        <v>2</v>
      </c>
      <c r="CU779">
        <v>0</v>
      </c>
      <c r="CV779">
        <v>2</v>
      </c>
      <c r="CW779">
        <v>0</v>
      </c>
      <c r="CX779">
        <v>4</v>
      </c>
      <c r="CY779">
        <v>7</v>
      </c>
      <c r="CZ779" t="s">
        <v>131</v>
      </c>
      <c r="DA779">
        <v>116</v>
      </c>
      <c r="DB779">
        <v>3</v>
      </c>
      <c r="DC779" t="s">
        <v>132</v>
      </c>
      <c r="DD779" t="s">
        <v>133</v>
      </c>
      <c r="DG779">
        <v>8383635</v>
      </c>
      <c r="DI779">
        <v>0</v>
      </c>
      <c r="DJ779">
        <v>0</v>
      </c>
      <c r="DK779">
        <v>1</v>
      </c>
      <c r="DL779">
        <v>0</v>
      </c>
      <c r="DM779">
        <v>0</v>
      </c>
      <c r="DN779">
        <v>0</v>
      </c>
      <c r="DO779">
        <v>0</v>
      </c>
      <c r="DP779">
        <v>1</v>
      </c>
      <c r="DQ779">
        <v>0</v>
      </c>
      <c r="DR779">
        <v>0</v>
      </c>
      <c r="DS779">
        <v>0</v>
      </c>
    </row>
    <row r="780" spans="1:123" x14ac:dyDescent="0.25">
      <c r="A780" t="str">
        <f>"11/29/2023 20:25:03.852"</f>
        <v>11/29/2023 20:25:03.852</v>
      </c>
      <c r="C780" t="str">
        <f t="shared" si="96"/>
        <v>FFDF53C0</v>
      </c>
      <c r="D780" t="s">
        <v>123</v>
      </c>
      <c r="E780">
        <v>14</v>
      </c>
      <c r="F780">
        <v>1014</v>
      </c>
      <c r="G780" t="s">
        <v>124</v>
      </c>
      <c r="J780" t="s">
        <v>125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"20:25:03.383"</f>
        <v>20:25:03.383</v>
      </c>
      <c r="T780" t="str">
        <f>"20:25:03.183"</f>
        <v>20:25:03.183</v>
      </c>
      <c r="U780" t="str">
        <f t="shared" si="97"/>
        <v>AA0632</v>
      </c>
      <c r="V780">
        <v>0</v>
      </c>
      <c r="W780">
        <v>0</v>
      </c>
      <c r="X780">
        <v>2</v>
      </c>
      <c r="Y780">
        <v>0</v>
      </c>
      <c r="AA780">
        <v>0</v>
      </c>
      <c r="AB780">
        <v>9</v>
      </c>
      <c r="AC780">
        <v>3</v>
      </c>
      <c r="AD780">
        <v>0</v>
      </c>
      <c r="AE780">
        <v>10</v>
      </c>
      <c r="AF780" t="s">
        <v>126</v>
      </c>
      <c r="AG780">
        <v>0</v>
      </c>
      <c r="AH780">
        <v>0</v>
      </c>
      <c r="AI780">
        <v>2</v>
      </c>
      <c r="AJ780">
        <v>0</v>
      </c>
      <c r="AK780" t="s">
        <v>530</v>
      </c>
      <c r="AL780">
        <v>31.922407</v>
      </c>
      <c r="AM780" t="s">
        <v>531</v>
      </c>
      <c r="AN780">
        <v>-101.01619700000001</v>
      </c>
      <c r="AQ780" t="s">
        <v>129</v>
      </c>
      <c r="AR780">
        <v>93</v>
      </c>
      <c r="AS780">
        <v>-5</v>
      </c>
      <c r="AT780">
        <v>-64</v>
      </c>
      <c r="BB780" t="str">
        <f t="shared" si="98"/>
        <v>1200</v>
      </c>
      <c r="BC780">
        <v>1</v>
      </c>
      <c r="BD780" t="str">
        <f t="shared" si="99"/>
        <v xml:space="preserve">N745MB  </v>
      </c>
      <c r="BE780">
        <v>1</v>
      </c>
      <c r="BG780">
        <v>0</v>
      </c>
      <c r="BH780">
        <v>0</v>
      </c>
      <c r="BI780">
        <v>0</v>
      </c>
      <c r="BL780" t="s">
        <v>130</v>
      </c>
      <c r="BM780">
        <v>1</v>
      </c>
      <c r="BN780">
        <v>0</v>
      </c>
      <c r="BO780">
        <v>0</v>
      </c>
      <c r="BP780">
        <v>0</v>
      </c>
      <c r="BT780">
        <v>0</v>
      </c>
      <c r="BU780">
        <v>0</v>
      </c>
      <c r="CE780" t="str">
        <f>"20:25:03.384"</f>
        <v>20:25:03.384</v>
      </c>
      <c r="CF780">
        <v>384001081</v>
      </c>
      <c r="CS780">
        <v>0</v>
      </c>
      <c r="CT780">
        <v>2</v>
      </c>
      <c r="CU780">
        <v>0</v>
      </c>
      <c r="CV780">
        <v>2</v>
      </c>
      <c r="CW780">
        <v>0</v>
      </c>
      <c r="CX780">
        <v>4</v>
      </c>
      <c r="CY780">
        <v>7</v>
      </c>
      <c r="CZ780" t="s">
        <v>131</v>
      </c>
      <c r="DA780">
        <v>116</v>
      </c>
      <c r="DB780">
        <v>3</v>
      </c>
      <c r="DC780" t="s">
        <v>132</v>
      </c>
      <c r="DD780" t="s">
        <v>133</v>
      </c>
      <c r="DG780">
        <v>8383635</v>
      </c>
      <c r="DI780">
        <v>0</v>
      </c>
      <c r="DJ780">
        <v>0</v>
      </c>
      <c r="DK780">
        <v>1</v>
      </c>
      <c r="DL780">
        <v>0</v>
      </c>
      <c r="DM780">
        <v>0</v>
      </c>
      <c r="DN780">
        <v>0</v>
      </c>
      <c r="DO780">
        <v>0</v>
      </c>
      <c r="DP780">
        <v>1</v>
      </c>
      <c r="DQ780">
        <v>0</v>
      </c>
      <c r="DR780">
        <v>0</v>
      </c>
      <c r="DS780">
        <v>0</v>
      </c>
    </row>
    <row r="781" spans="1:123" x14ac:dyDescent="0.25">
      <c r="A781" t="str">
        <f>"11/29/2023 20:25:03.852"</f>
        <v>11/29/2023 20:25:03.852</v>
      </c>
      <c r="C781" t="str">
        <f t="shared" si="96"/>
        <v>FFDF53C0</v>
      </c>
      <c r="D781" t="s">
        <v>123</v>
      </c>
      <c r="E781">
        <v>1</v>
      </c>
      <c r="F781">
        <v>1001</v>
      </c>
      <c r="G781" t="s">
        <v>134</v>
      </c>
      <c r="J781" t="s">
        <v>125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"20:25:03.383"</f>
        <v>20:25:03.383</v>
      </c>
      <c r="T781" t="str">
        <f>"20:25:03.183"</f>
        <v>20:25:03.183</v>
      </c>
      <c r="U781" t="str">
        <f t="shared" si="97"/>
        <v>AA0632</v>
      </c>
      <c r="V781">
        <v>0</v>
      </c>
      <c r="W781">
        <v>0</v>
      </c>
      <c r="X781">
        <v>2</v>
      </c>
      <c r="Y781">
        <v>0</v>
      </c>
      <c r="AA781">
        <v>0</v>
      </c>
      <c r="AB781">
        <v>9</v>
      </c>
      <c r="AC781">
        <v>3</v>
      </c>
      <c r="AD781">
        <v>0</v>
      </c>
      <c r="AE781">
        <v>10</v>
      </c>
      <c r="AF781" t="s">
        <v>126</v>
      </c>
      <c r="AG781">
        <v>0</v>
      </c>
      <c r="AH781">
        <v>0</v>
      </c>
      <c r="AI781">
        <v>2</v>
      </c>
      <c r="AJ781">
        <v>0</v>
      </c>
      <c r="AK781" t="s">
        <v>530</v>
      </c>
      <c r="AL781">
        <v>31.922407</v>
      </c>
      <c r="AM781" t="s">
        <v>531</v>
      </c>
      <c r="AN781">
        <v>-101.01619700000001</v>
      </c>
      <c r="AQ781" t="s">
        <v>129</v>
      </c>
      <c r="AR781">
        <v>93</v>
      </c>
      <c r="AS781">
        <v>-5</v>
      </c>
      <c r="AT781">
        <v>-64</v>
      </c>
      <c r="BB781" t="str">
        <f t="shared" si="98"/>
        <v>1200</v>
      </c>
      <c r="BC781">
        <v>1</v>
      </c>
      <c r="BD781" t="str">
        <f t="shared" si="99"/>
        <v xml:space="preserve">N745MB  </v>
      </c>
      <c r="BE781">
        <v>1</v>
      </c>
      <c r="BG781">
        <v>0</v>
      </c>
      <c r="BH781">
        <v>0</v>
      </c>
      <c r="BI781">
        <v>0</v>
      </c>
      <c r="BL781" t="s">
        <v>130</v>
      </c>
      <c r="BM781">
        <v>1</v>
      </c>
      <c r="BN781">
        <v>0</v>
      </c>
      <c r="BO781">
        <v>0</v>
      </c>
      <c r="BP781">
        <v>0</v>
      </c>
      <c r="BT781">
        <v>0</v>
      </c>
      <c r="BU781">
        <v>0</v>
      </c>
      <c r="CE781" t="str">
        <f>"20:25:03.384"</f>
        <v>20:25:03.384</v>
      </c>
      <c r="CF781">
        <v>384001081</v>
      </c>
      <c r="CS781">
        <v>0</v>
      </c>
      <c r="CT781">
        <v>2</v>
      </c>
      <c r="CU781">
        <v>0</v>
      </c>
      <c r="CV781">
        <v>2</v>
      </c>
      <c r="CW781">
        <v>0</v>
      </c>
      <c r="CX781">
        <v>4</v>
      </c>
      <c r="CY781">
        <v>7</v>
      </c>
      <c r="CZ781" t="s">
        <v>131</v>
      </c>
      <c r="DA781">
        <v>116</v>
      </c>
      <c r="DB781">
        <v>3</v>
      </c>
      <c r="DC781" t="s">
        <v>132</v>
      </c>
      <c r="DD781" t="s">
        <v>133</v>
      </c>
      <c r="DG781">
        <v>8383635</v>
      </c>
      <c r="DI781">
        <v>0</v>
      </c>
      <c r="DJ781">
        <v>0</v>
      </c>
      <c r="DK781">
        <v>1</v>
      </c>
      <c r="DL781">
        <v>0</v>
      </c>
      <c r="DM781">
        <v>0</v>
      </c>
      <c r="DN781">
        <v>0</v>
      </c>
      <c r="DO781">
        <v>0</v>
      </c>
      <c r="DP781">
        <v>1</v>
      </c>
      <c r="DQ781">
        <v>0</v>
      </c>
      <c r="DR781">
        <v>0</v>
      </c>
      <c r="DS781">
        <v>0</v>
      </c>
    </row>
    <row r="782" spans="1:123" x14ac:dyDescent="0.25">
      <c r="A782" t="str">
        <f>"11/29/2023 20:25:05.227"</f>
        <v>11/29/2023 20:25:05.227</v>
      </c>
      <c r="C782" t="str">
        <f t="shared" si="96"/>
        <v>FFDF53C0</v>
      </c>
      <c r="D782" t="s">
        <v>135</v>
      </c>
      <c r="E782">
        <v>31</v>
      </c>
      <c r="H782">
        <v>285</v>
      </c>
      <c r="I782" t="s">
        <v>136</v>
      </c>
      <c r="J782" t="s">
        <v>137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"20:25:04.781"</f>
        <v>20:25:04.781</v>
      </c>
      <c r="T782" t="str">
        <f>"20:25:04.781"</f>
        <v>20:25:04.781</v>
      </c>
      <c r="U782" t="str">
        <f t="shared" si="97"/>
        <v>AA0632</v>
      </c>
      <c r="V782">
        <v>0</v>
      </c>
      <c r="W782">
        <v>0</v>
      </c>
      <c r="X782">
        <v>2</v>
      </c>
      <c r="Y782">
        <v>0</v>
      </c>
      <c r="AA782">
        <v>0</v>
      </c>
      <c r="AB782">
        <v>9</v>
      </c>
      <c r="AC782">
        <v>3</v>
      </c>
      <c r="AD782">
        <v>0</v>
      </c>
      <c r="AE782">
        <v>10</v>
      </c>
      <c r="AF782" t="s">
        <v>126</v>
      </c>
      <c r="AG782">
        <v>0</v>
      </c>
      <c r="AH782">
        <v>0</v>
      </c>
      <c r="AI782">
        <v>2</v>
      </c>
      <c r="AJ782">
        <v>0</v>
      </c>
      <c r="AK782" t="s">
        <v>532</v>
      </c>
      <c r="AL782">
        <v>31.922364000000002</v>
      </c>
      <c r="AM782" t="s">
        <v>533</v>
      </c>
      <c r="AN782">
        <v>-101.015468</v>
      </c>
      <c r="AQ782" t="s">
        <v>129</v>
      </c>
      <c r="AR782">
        <v>92</v>
      </c>
      <c r="AS782">
        <v>-6</v>
      </c>
      <c r="AT782">
        <v>128</v>
      </c>
      <c r="BB782" t="str">
        <f t="shared" si="98"/>
        <v>1200</v>
      </c>
      <c r="BC782">
        <v>1</v>
      </c>
      <c r="BD782" t="str">
        <f t="shared" si="99"/>
        <v xml:space="preserve">N745MB  </v>
      </c>
      <c r="BE782">
        <v>1</v>
      </c>
      <c r="BG782">
        <v>0</v>
      </c>
      <c r="BH782">
        <v>0</v>
      </c>
      <c r="BI782">
        <v>0</v>
      </c>
      <c r="BL782" t="s">
        <v>130</v>
      </c>
      <c r="BM782">
        <v>1</v>
      </c>
      <c r="BN782">
        <v>0</v>
      </c>
      <c r="BO782">
        <v>0</v>
      </c>
      <c r="BP782">
        <v>0</v>
      </c>
      <c r="BT782">
        <v>0</v>
      </c>
      <c r="BU782">
        <v>0</v>
      </c>
      <c r="CE782" t="str">
        <f>"20:25:04.786"</f>
        <v>20:25:04.786</v>
      </c>
      <c r="CF782">
        <v>785911514</v>
      </c>
      <c r="CS782">
        <v>0</v>
      </c>
      <c r="CT782">
        <v>2</v>
      </c>
      <c r="CU782">
        <v>0</v>
      </c>
      <c r="CV782">
        <v>2</v>
      </c>
      <c r="CW782">
        <v>0</v>
      </c>
      <c r="CX782">
        <v>5</v>
      </c>
      <c r="CY782">
        <v>7</v>
      </c>
      <c r="CZ782" t="s">
        <v>131</v>
      </c>
      <c r="DA782">
        <v>116</v>
      </c>
      <c r="DB782">
        <v>0</v>
      </c>
      <c r="DC782" t="s">
        <v>132</v>
      </c>
      <c r="DD782" t="s">
        <v>133</v>
      </c>
      <c r="DG782">
        <v>14629656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1</v>
      </c>
      <c r="DQ782">
        <v>0</v>
      </c>
      <c r="DR782">
        <v>0</v>
      </c>
      <c r="DS782">
        <v>0</v>
      </c>
    </row>
    <row r="783" spans="1:123" x14ac:dyDescent="0.25">
      <c r="A783" t="str">
        <f>"11/29/2023 20:25:05.290"</f>
        <v>11/29/2023 20:25:05.290</v>
      </c>
      <c r="C783" t="str">
        <f>"FFD353C0"</f>
        <v>FFD353C0</v>
      </c>
      <c r="D783" t="s">
        <v>164</v>
      </c>
      <c r="E783">
        <v>24</v>
      </c>
      <c r="F783">
        <v>2024</v>
      </c>
      <c r="G783" t="s">
        <v>165</v>
      </c>
      <c r="J783" t="s">
        <v>166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"20:25:04.781"</f>
        <v>20:25:04.781</v>
      </c>
      <c r="T783" t="str">
        <f>"20:25:04.281"</f>
        <v>20:25:04.281</v>
      </c>
      <c r="U783" t="str">
        <f t="shared" si="97"/>
        <v>AA0632</v>
      </c>
      <c r="V783">
        <v>0</v>
      </c>
      <c r="W783">
        <v>0</v>
      </c>
      <c r="X783">
        <v>2</v>
      </c>
      <c r="Y783">
        <v>0</v>
      </c>
      <c r="AA783">
        <v>0</v>
      </c>
      <c r="AB783">
        <v>9</v>
      </c>
      <c r="AC783">
        <v>3</v>
      </c>
      <c r="AD783">
        <v>0</v>
      </c>
      <c r="AE783">
        <v>10</v>
      </c>
      <c r="AF783" t="s">
        <v>126</v>
      </c>
      <c r="AG783">
        <v>0</v>
      </c>
      <c r="AH783">
        <v>0</v>
      </c>
      <c r="AI783">
        <v>2</v>
      </c>
      <c r="AJ783">
        <v>0</v>
      </c>
      <c r="AK783" t="s">
        <v>532</v>
      </c>
      <c r="AL783">
        <v>31.922364000000002</v>
      </c>
      <c r="AM783" t="s">
        <v>533</v>
      </c>
      <c r="AN783">
        <v>-101.015468</v>
      </c>
      <c r="AQ783" t="s">
        <v>129</v>
      </c>
      <c r="AR783">
        <v>93</v>
      </c>
      <c r="AS783">
        <v>-6</v>
      </c>
      <c r="AT783">
        <v>128</v>
      </c>
      <c r="BB783" t="str">
        <f t="shared" si="98"/>
        <v>1200</v>
      </c>
      <c r="BC783">
        <v>1</v>
      </c>
      <c r="BG783">
        <v>0</v>
      </c>
      <c r="BH783">
        <v>0</v>
      </c>
      <c r="BI783">
        <v>0</v>
      </c>
      <c r="BL783" t="s">
        <v>130</v>
      </c>
      <c r="BM783">
        <v>1</v>
      </c>
      <c r="BN783">
        <v>0</v>
      </c>
      <c r="BO783">
        <v>0</v>
      </c>
      <c r="BP783">
        <v>0</v>
      </c>
      <c r="BT783">
        <v>0</v>
      </c>
      <c r="BU783">
        <v>0</v>
      </c>
      <c r="CE783" t="str">
        <f>"20:25:04.786"</f>
        <v>20:25:04.786</v>
      </c>
      <c r="CF783">
        <v>785924328</v>
      </c>
      <c r="CS783">
        <v>0</v>
      </c>
      <c r="CT783">
        <v>2</v>
      </c>
      <c r="CU783">
        <v>0</v>
      </c>
      <c r="CV783">
        <v>2</v>
      </c>
      <c r="CW783">
        <v>0</v>
      </c>
      <c r="CX783">
        <v>2</v>
      </c>
      <c r="CY783">
        <v>7</v>
      </c>
      <c r="CZ783" t="s">
        <v>131</v>
      </c>
      <c r="DA783">
        <v>483</v>
      </c>
      <c r="DB783">
        <v>0</v>
      </c>
      <c r="DC783" t="s">
        <v>169</v>
      </c>
      <c r="DD783" t="s">
        <v>170</v>
      </c>
      <c r="DG783">
        <v>7368933</v>
      </c>
      <c r="DI783">
        <v>0</v>
      </c>
      <c r="DJ783">
        <v>0</v>
      </c>
      <c r="DK783">
        <v>1</v>
      </c>
      <c r="DL783">
        <v>0</v>
      </c>
      <c r="DM783">
        <v>0</v>
      </c>
      <c r="DN783">
        <v>0</v>
      </c>
      <c r="DO783">
        <v>0</v>
      </c>
      <c r="DP783">
        <v>1</v>
      </c>
      <c r="DQ783">
        <v>0</v>
      </c>
      <c r="DR783">
        <v>0</v>
      </c>
      <c r="DS783">
        <v>0</v>
      </c>
    </row>
    <row r="784" spans="1:123" x14ac:dyDescent="0.25">
      <c r="A784" t="str">
        <f>"11/29/2023 20:25:05.305"</f>
        <v>11/29/2023 20:25:05.305</v>
      </c>
      <c r="C784" t="str">
        <f t="shared" ref="C784:C847" si="100">"FFDF53C0"</f>
        <v>FFDF53C0</v>
      </c>
      <c r="D784" t="s">
        <v>138</v>
      </c>
      <c r="E784">
        <v>3</v>
      </c>
      <c r="H784">
        <v>160</v>
      </c>
      <c r="I784" t="s">
        <v>124</v>
      </c>
      <c r="J784" t="s">
        <v>139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"20:25:04.781"</f>
        <v>20:25:04.781</v>
      </c>
      <c r="T784" t="str">
        <f>"20:25:04.781"</f>
        <v>20:25:04.781</v>
      </c>
      <c r="U784" t="str">
        <f t="shared" si="97"/>
        <v>AA0632</v>
      </c>
      <c r="V784">
        <v>0</v>
      </c>
      <c r="W784">
        <v>0</v>
      </c>
      <c r="X784">
        <v>2</v>
      </c>
      <c r="Y784">
        <v>0</v>
      </c>
      <c r="AA784">
        <v>0</v>
      </c>
      <c r="AB784">
        <v>9</v>
      </c>
      <c r="AC784">
        <v>3</v>
      </c>
      <c r="AD784">
        <v>0</v>
      </c>
      <c r="AE784">
        <v>10</v>
      </c>
      <c r="AF784" t="s">
        <v>126</v>
      </c>
      <c r="AG784">
        <v>0</v>
      </c>
      <c r="AH784">
        <v>0</v>
      </c>
      <c r="AI784">
        <v>2</v>
      </c>
      <c r="AJ784">
        <v>0</v>
      </c>
      <c r="AK784" t="s">
        <v>532</v>
      </c>
      <c r="AL784">
        <v>31.922364000000002</v>
      </c>
      <c r="AM784" t="s">
        <v>533</v>
      </c>
      <c r="AN784">
        <v>-101.015468</v>
      </c>
      <c r="AQ784" t="s">
        <v>129</v>
      </c>
      <c r="AR784">
        <v>92</v>
      </c>
      <c r="AS784">
        <v>-6</v>
      </c>
      <c r="AT784">
        <v>128</v>
      </c>
      <c r="BB784" t="str">
        <f t="shared" si="98"/>
        <v>1200</v>
      </c>
      <c r="BC784">
        <v>1</v>
      </c>
      <c r="BD784" t="str">
        <f t="shared" ref="BD784:BD847" si="101">"N745MB  "</f>
        <v xml:space="preserve">N745MB  </v>
      </c>
      <c r="BE784">
        <v>1</v>
      </c>
      <c r="BG784">
        <v>0</v>
      </c>
      <c r="BH784">
        <v>0</v>
      </c>
      <c r="BI784">
        <v>0</v>
      </c>
      <c r="BL784" t="s">
        <v>130</v>
      </c>
      <c r="BM784">
        <v>1</v>
      </c>
      <c r="BN784">
        <v>0</v>
      </c>
      <c r="BO784">
        <v>0</v>
      </c>
      <c r="BP784">
        <v>0</v>
      </c>
      <c r="BT784">
        <v>0</v>
      </c>
      <c r="BU784">
        <v>0</v>
      </c>
      <c r="CE784" t="str">
        <f>"20:25:04.786"</f>
        <v>20:25:04.786</v>
      </c>
      <c r="CF784">
        <v>785911514</v>
      </c>
      <c r="CS784">
        <v>0</v>
      </c>
      <c r="CT784">
        <v>2</v>
      </c>
      <c r="CU784">
        <v>0</v>
      </c>
      <c r="CV784">
        <v>2</v>
      </c>
      <c r="CW784">
        <v>0</v>
      </c>
      <c r="CX784">
        <v>5</v>
      </c>
      <c r="CY784">
        <v>7</v>
      </c>
      <c r="CZ784" t="s">
        <v>131</v>
      </c>
      <c r="DA784">
        <v>116</v>
      </c>
      <c r="DB784">
        <v>0</v>
      </c>
      <c r="DC784" t="s">
        <v>132</v>
      </c>
      <c r="DD784" t="s">
        <v>133</v>
      </c>
      <c r="DG784">
        <v>14629656</v>
      </c>
      <c r="DI784">
        <v>0</v>
      </c>
      <c r="DJ784">
        <v>0</v>
      </c>
      <c r="DK784">
        <v>1</v>
      </c>
      <c r="DL784">
        <v>0</v>
      </c>
      <c r="DM784">
        <v>0</v>
      </c>
      <c r="DN784">
        <v>0</v>
      </c>
      <c r="DO784">
        <v>0</v>
      </c>
      <c r="DP784">
        <v>1</v>
      </c>
      <c r="DQ784">
        <v>0</v>
      </c>
      <c r="DR784">
        <v>0</v>
      </c>
      <c r="DS784">
        <v>0</v>
      </c>
    </row>
    <row r="785" spans="1:123" x14ac:dyDescent="0.25">
      <c r="A785" t="str">
        <f>"11/29/2023 20:25:05.305"</f>
        <v>11/29/2023 20:25:05.305</v>
      </c>
      <c r="C785" t="str">
        <f t="shared" si="100"/>
        <v>FFDF53C0</v>
      </c>
      <c r="D785" t="s">
        <v>123</v>
      </c>
      <c r="E785">
        <v>1</v>
      </c>
      <c r="F785">
        <v>1001</v>
      </c>
      <c r="G785" t="s">
        <v>134</v>
      </c>
      <c r="J785" t="s">
        <v>125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"20:25:04.781"</f>
        <v>20:25:04.781</v>
      </c>
      <c r="T785" t="str">
        <f>"20:25:04.781"</f>
        <v>20:25:04.781</v>
      </c>
      <c r="U785" t="str">
        <f t="shared" si="97"/>
        <v>AA0632</v>
      </c>
      <c r="V785">
        <v>0</v>
      </c>
      <c r="W785">
        <v>0</v>
      </c>
      <c r="X785">
        <v>2</v>
      </c>
      <c r="Y785">
        <v>0</v>
      </c>
      <c r="AA785">
        <v>0</v>
      </c>
      <c r="AB785">
        <v>9</v>
      </c>
      <c r="AC785">
        <v>3</v>
      </c>
      <c r="AD785">
        <v>0</v>
      </c>
      <c r="AE785">
        <v>10</v>
      </c>
      <c r="AF785" t="s">
        <v>126</v>
      </c>
      <c r="AG785">
        <v>0</v>
      </c>
      <c r="AH785">
        <v>0</v>
      </c>
      <c r="AI785">
        <v>2</v>
      </c>
      <c r="AJ785">
        <v>0</v>
      </c>
      <c r="AK785" t="s">
        <v>532</v>
      </c>
      <c r="AL785">
        <v>31.922364000000002</v>
      </c>
      <c r="AM785" t="s">
        <v>533</v>
      </c>
      <c r="AN785">
        <v>-101.015468</v>
      </c>
      <c r="AQ785" t="s">
        <v>129</v>
      </c>
      <c r="AR785">
        <v>92</v>
      </c>
      <c r="AS785">
        <v>-6</v>
      </c>
      <c r="AT785">
        <v>128</v>
      </c>
      <c r="BB785" t="str">
        <f t="shared" si="98"/>
        <v>1200</v>
      </c>
      <c r="BC785">
        <v>1</v>
      </c>
      <c r="BD785" t="str">
        <f t="shared" si="101"/>
        <v xml:space="preserve">N745MB  </v>
      </c>
      <c r="BE785">
        <v>1</v>
      </c>
      <c r="BG785">
        <v>0</v>
      </c>
      <c r="BH785">
        <v>0</v>
      </c>
      <c r="BI785">
        <v>0</v>
      </c>
      <c r="BL785" t="s">
        <v>130</v>
      </c>
      <c r="BM785">
        <v>1</v>
      </c>
      <c r="BN785">
        <v>0</v>
      </c>
      <c r="BO785">
        <v>0</v>
      </c>
      <c r="BP785">
        <v>0</v>
      </c>
      <c r="BT785">
        <v>0</v>
      </c>
      <c r="BU785">
        <v>0</v>
      </c>
      <c r="CE785" t="str">
        <f>"20:25:04.786"</f>
        <v>20:25:04.786</v>
      </c>
      <c r="CF785">
        <v>785911514</v>
      </c>
      <c r="CS785">
        <v>0</v>
      </c>
      <c r="CT785">
        <v>2</v>
      </c>
      <c r="CU785">
        <v>0</v>
      </c>
      <c r="CV785">
        <v>2</v>
      </c>
      <c r="CW785">
        <v>0</v>
      </c>
      <c r="CX785">
        <v>5</v>
      </c>
      <c r="CY785">
        <v>7</v>
      </c>
      <c r="CZ785" t="s">
        <v>131</v>
      </c>
      <c r="DA785">
        <v>116</v>
      </c>
      <c r="DB785">
        <v>0</v>
      </c>
      <c r="DC785" t="s">
        <v>132</v>
      </c>
      <c r="DD785" t="s">
        <v>133</v>
      </c>
      <c r="DG785">
        <v>14629656</v>
      </c>
      <c r="DI785">
        <v>0</v>
      </c>
      <c r="DJ785">
        <v>0</v>
      </c>
      <c r="DK785">
        <v>1</v>
      </c>
      <c r="DL785">
        <v>0</v>
      </c>
      <c r="DM785">
        <v>0</v>
      </c>
      <c r="DN785">
        <v>0</v>
      </c>
      <c r="DO785">
        <v>0</v>
      </c>
      <c r="DP785">
        <v>1</v>
      </c>
      <c r="DQ785">
        <v>0</v>
      </c>
      <c r="DR785">
        <v>0</v>
      </c>
      <c r="DS785">
        <v>0</v>
      </c>
    </row>
    <row r="786" spans="1:123" x14ac:dyDescent="0.25">
      <c r="A786" t="str">
        <f>"11/29/2023 20:25:07.305"</f>
        <v>11/29/2023 20:25:07.305</v>
      </c>
      <c r="C786" t="str">
        <f t="shared" si="100"/>
        <v>FFDF53C0</v>
      </c>
      <c r="D786" t="s">
        <v>123</v>
      </c>
      <c r="E786">
        <v>14</v>
      </c>
      <c r="F786">
        <v>1014</v>
      </c>
      <c r="G786" t="s">
        <v>124</v>
      </c>
      <c r="J786" t="s">
        <v>125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"20:25:07.063"</f>
        <v>20:25:07.063</v>
      </c>
      <c r="T786" t="str">
        <f>"20:25:05.663"</f>
        <v>20:25:05.663</v>
      </c>
      <c r="U786" t="str">
        <f t="shared" si="97"/>
        <v>AA0632</v>
      </c>
      <c r="V786">
        <v>0</v>
      </c>
      <c r="W786">
        <v>0</v>
      </c>
      <c r="X786">
        <v>2</v>
      </c>
      <c r="Y786">
        <v>0</v>
      </c>
      <c r="AA786">
        <v>0</v>
      </c>
      <c r="AB786">
        <v>9</v>
      </c>
      <c r="AC786">
        <v>3</v>
      </c>
      <c r="AD786">
        <v>0</v>
      </c>
      <c r="AE786">
        <v>10</v>
      </c>
      <c r="AF786" t="s">
        <v>126</v>
      </c>
      <c r="AG786">
        <v>0</v>
      </c>
      <c r="AH786">
        <v>0</v>
      </c>
      <c r="AI786">
        <v>2</v>
      </c>
      <c r="AJ786">
        <v>0</v>
      </c>
      <c r="AK786" t="s">
        <v>534</v>
      </c>
      <c r="AL786">
        <v>31.922277999999999</v>
      </c>
      <c r="AM786" t="s">
        <v>535</v>
      </c>
      <c r="AN786">
        <v>-101.01439499999999</v>
      </c>
      <c r="AQ786" t="s">
        <v>129</v>
      </c>
      <c r="AR786">
        <v>92</v>
      </c>
      <c r="AS786">
        <v>-6</v>
      </c>
      <c r="AT786">
        <v>192</v>
      </c>
      <c r="BB786" t="str">
        <f t="shared" si="98"/>
        <v>1200</v>
      </c>
      <c r="BC786">
        <v>1</v>
      </c>
      <c r="BD786" t="str">
        <f t="shared" si="101"/>
        <v xml:space="preserve">N745MB  </v>
      </c>
      <c r="BE786">
        <v>1</v>
      </c>
      <c r="BG786">
        <v>0</v>
      </c>
      <c r="BH786">
        <v>0</v>
      </c>
      <c r="BI786">
        <v>0</v>
      </c>
      <c r="BL786" t="s">
        <v>130</v>
      </c>
      <c r="BM786">
        <v>1</v>
      </c>
      <c r="BN786">
        <v>0</v>
      </c>
      <c r="BO786">
        <v>0</v>
      </c>
      <c r="BP786">
        <v>0</v>
      </c>
      <c r="BT786">
        <v>0</v>
      </c>
      <c r="BU786">
        <v>0</v>
      </c>
      <c r="CE786" t="str">
        <f>"20:25:07.070"</f>
        <v>20:25:07.070</v>
      </c>
      <c r="CF786">
        <v>69766574</v>
      </c>
      <c r="CS786">
        <v>0</v>
      </c>
      <c r="CT786">
        <v>2</v>
      </c>
      <c r="CU786">
        <v>0</v>
      </c>
      <c r="CV786">
        <v>2</v>
      </c>
      <c r="CW786">
        <v>0</v>
      </c>
      <c r="CX786">
        <v>2</v>
      </c>
      <c r="CY786">
        <v>7</v>
      </c>
      <c r="CZ786" t="s">
        <v>131</v>
      </c>
      <c r="DA786">
        <v>483</v>
      </c>
      <c r="DB786">
        <v>1</v>
      </c>
      <c r="DC786" t="s">
        <v>169</v>
      </c>
      <c r="DD786" t="s">
        <v>170</v>
      </c>
      <c r="DG786">
        <v>7369274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1</v>
      </c>
      <c r="DQ786">
        <v>0</v>
      </c>
      <c r="DR786">
        <v>0</v>
      </c>
      <c r="DS786">
        <v>0</v>
      </c>
    </row>
    <row r="787" spans="1:123" x14ac:dyDescent="0.25">
      <c r="A787" t="str">
        <f>"11/29/2023 20:25:07.368"</f>
        <v>11/29/2023 20:25:07.368</v>
      </c>
      <c r="C787" t="str">
        <f t="shared" si="100"/>
        <v>FFDF53C0</v>
      </c>
      <c r="D787" t="s">
        <v>164</v>
      </c>
      <c r="E787">
        <v>24</v>
      </c>
      <c r="F787">
        <v>2024</v>
      </c>
      <c r="G787" t="s">
        <v>165</v>
      </c>
      <c r="J787" t="s">
        <v>166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"20:25:07.063"</f>
        <v>20:25:07.063</v>
      </c>
      <c r="T787" t="str">
        <f>"20:25:05.663"</f>
        <v>20:25:05.663</v>
      </c>
      <c r="U787" t="str">
        <f t="shared" si="97"/>
        <v>AA0632</v>
      </c>
      <c r="V787">
        <v>0</v>
      </c>
      <c r="W787">
        <v>0</v>
      </c>
      <c r="X787">
        <v>2</v>
      </c>
      <c r="Y787">
        <v>0</v>
      </c>
      <c r="AA787">
        <v>0</v>
      </c>
      <c r="AB787">
        <v>9</v>
      </c>
      <c r="AC787">
        <v>3</v>
      </c>
      <c r="AD787">
        <v>0</v>
      </c>
      <c r="AE787">
        <v>10</v>
      </c>
      <c r="AF787" t="s">
        <v>126</v>
      </c>
      <c r="AG787">
        <v>0</v>
      </c>
      <c r="AH787">
        <v>0</v>
      </c>
      <c r="AI787">
        <v>2</v>
      </c>
      <c r="AJ787">
        <v>0</v>
      </c>
      <c r="AK787" t="s">
        <v>534</v>
      </c>
      <c r="AL787">
        <v>31.922277999999999</v>
      </c>
      <c r="AM787" t="s">
        <v>535</v>
      </c>
      <c r="AN787">
        <v>-101.01439499999999</v>
      </c>
      <c r="AQ787" t="s">
        <v>129</v>
      </c>
      <c r="AR787">
        <v>92</v>
      </c>
      <c r="AS787">
        <v>-6</v>
      </c>
      <c r="AT787">
        <v>192</v>
      </c>
      <c r="BB787" t="str">
        <f t="shared" si="98"/>
        <v>1200</v>
      </c>
      <c r="BC787">
        <v>1</v>
      </c>
      <c r="BD787" t="str">
        <f t="shared" si="101"/>
        <v xml:space="preserve">N745MB  </v>
      </c>
      <c r="BE787">
        <v>1</v>
      </c>
      <c r="BG787">
        <v>0</v>
      </c>
      <c r="BH787">
        <v>0</v>
      </c>
      <c r="BI787">
        <v>0</v>
      </c>
      <c r="BL787" t="s">
        <v>130</v>
      </c>
      <c r="BM787">
        <v>1</v>
      </c>
      <c r="BN787">
        <v>0</v>
      </c>
      <c r="BO787">
        <v>0</v>
      </c>
      <c r="BP787">
        <v>0</v>
      </c>
      <c r="BT787">
        <v>0</v>
      </c>
      <c r="BU787">
        <v>0</v>
      </c>
      <c r="CE787" t="str">
        <f>"20:25:07.070"</f>
        <v>20:25:07.070</v>
      </c>
      <c r="CF787">
        <v>69766574</v>
      </c>
      <c r="CS787">
        <v>0</v>
      </c>
      <c r="CT787">
        <v>2</v>
      </c>
      <c r="CU787">
        <v>0</v>
      </c>
      <c r="CV787">
        <v>2</v>
      </c>
      <c r="CW787">
        <v>0</v>
      </c>
      <c r="CX787">
        <v>2</v>
      </c>
      <c r="CY787">
        <v>7</v>
      </c>
      <c r="CZ787" t="s">
        <v>131</v>
      </c>
      <c r="DA787">
        <v>483</v>
      </c>
      <c r="DB787">
        <v>1</v>
      </c>
      <c r="DC787" t="s">
        <v>169</v>
      </c>
      <c r="DD787" t="s">
        <v>170</v>
      </c>
      <c r="DG787">
        <v>7369274</v>
      </c>
      <c r="DI787">
        <v>0</v>
      </c>
      <c r="DJ787">
        <v>0</v>
      </c>
      <c r="DK787">
        <v>1</v>
      </c>
      <c r="DL787">
        <v>0</v>
      </c>
      <c r="DM787">
        <v>0</v>
      </c>
      <c r="DN787">
        <v>0</v>
      </c>
      <c r="DO787">
        <v>0</v>
      </c>
      <c r="DP787">
        <v>1</v>
      </c>
      <c r="DQ787">
        <v>0</v>
      </c>
      <c r="DR787">
        <v>0</v>
      </c>
      <c r="DS787">
        <v>0</v>
      </c>
    </row>
    <row r="788" spans="1:123" x14ac:dyDescent="0.25">
      <c r="A788" t="str">
        <f>"11/29/2023 20:25:07.430"</f>
        <v>11/29/2023 20:25:07.430</v>
      </c>
      <c r="C788" t="str">
        <f t="shared" si="100"/>
        <v>FFDF53C0</v>
      </c>
      <c r="D788" t="s">
        <v>138</v>
      </c>
      <c r="E788">
        <v>3</v>
      </c>
      <c r="H788">
        <v>160</v>
      </c>
      <c r="I788" t="s">
        <v>124</v>
      </c>
      <c r="J788" t="s">
        <v>139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"20:25:07.063"</f>
        <v>20:25:07.063</v>
      </c>
      <c r="T788" t="str">
        <f>"20:25:05.663"</f>
        <v>20:25:05.663</v>
      </c>
      <c r="U788" t="str">
        <f t="shared" si="97"/>
        <v>AA0632</v>
      </c>
      <c r="V788">
        <v>0</v>
      </c>
      <c r="W788">
        <v>0</v>
      </c>
      <c r="X788">
        <v>2</v>
      </c>
      <c r="Y788">
        <v>0</v>
      </c>
      <c r="AA788">
        <v>0</v>
      </c>
      <c r="AB788">
        <v>9</v>
      </c>
      <c r="AC788">
        <v>3</v>
      </c>
      <c r="AD788">
        <v>0</v>
      </c>
      <c r="AE788">
        <v>10</v>
      </c>
      <c r="AF788" t="s">
        <v>126</v>
      </c>
      <c r="AG788">
        <v>0</v>
      </c>
      <c r="AH788">
        <v>0</v>
      </c>
      <c r="AI788">
        <v>2</v>
      </c>
      <c r="AJ788">
        <v>0</v>
      </c>
      <c r="AK788" t="s">
        <v>534</v>
      </c>
      <c r="AL788">
        <v>31.922277999999999</v>
      </c>
      <c r="AM788" t="s">
        <v>535</v>
      </c>
      <c r="AN788">
        <v>-101.01439499999999</v>
      </c>
      <c r="AQ788" t="s">
        <v>129</v>
      </c>
      <c r="AR788">
        <v>92</v>
      </c>
      <c r="AS788">
        <v>-6</v>
      </c>
      <c r="AT788">
        <v>192</v>
      </c>
      <c r="BB788" t="str">
        <f t="shared" si="98"/>
        <v>1200</v>
      </c>
      <c r="BC788">
        <v>1</v>
      </c>
      <c r="BD788" t="str">
        <f t="shared" si="101"/>
        <v xml:space="preserve">N745MB  </v>
      </c>
      <c r="BE788">
        <v>1</v>
      </c>
      <c r="BG788">
        <v>0</v>
      </c>
      <c r="BH788">
        <v>0</v>
      </c>
      <c r="BI788">
        <v>0</v>
      </c>
      <c r="BL788" t="s">
        <v>130</v>
      </c>
      <c r="BM788">
        <v>1</v>
      </c>
      <c r="BN788">
        <v>0</v>
      </c>
      <c r="BO788">
        <v>0</v>
      </c>
      <c r="BP788">
        <v>0</v>
      </c>
      <c r="BT788">
        <v>0</v>
      </c>
      <c r="BU788">
        <v>0</v>
      </c>
      <c r="CE788" t="str">
        <f>"20:25:07.070"</f>
        <v>20:25:07.070</v>
      </c>
      <c r="CF788">
        <v>69766574</v>
      </c>
      <c r="CS788">
        <v>0</v>
      </c>
      <c r="CT788">
        <v>2</v>
      </c>
      <c r="CU788">
        <v>0</v>
      </c>
      <c r="CV788">
        <v>2</v>
      </c>
      <c r="CW788">
        <v>0</v>
      </c>
      <c r="CX788">
        <v>2</v>
      </c>
      <c r="CY788">
        <v>7</v>
      </c>
      <c r="CZ788" t="s">
        <v>131</v>
      </c>
      <c r="DA788">
        <v>483</v>
      </c>
      <c r="DB788">
        <v>1</v>
      </c>
      <c r="DC788" t="s">
        <v>169</v>
      </c>
      <c r="DD788" t="s">
        <v>170</v>
      </c>
      <c r="DG788">
        <v>7369274</v>
      </c>
      <c r="DI788">
        <v>0</v>
      </c>
      <c r="DJ788">
        <v>0</v>
      </c>
      <c r="DK788">
        <v>1</v>
      </c>
      <c r="DL788">
        <v>0</v>
      </c>
      <c r="DM788">
        <v>0</v>
      </c>
      <c r="DN788">
        <v>0</v>
      </c>
      <c r="DO788">
        <v>0</v>
      </c>
      <c r="DP788">
        <v>1</v>
      </c>
      <c r="DQ788">
        <v>0</v>
      </c>
      <c r="DR788">
        <v>0</v>
      </c>
      <c r="DS788">
        <v>0</v>
      </c>
    </row>
    <row r="789" spans="1:123" x14ac:dyDescent="0.25">
      <c r="A789" t="str">
        <f>"11/29/2023 20:25:08.383"</f>
        <v>11/29/2023 20:25:08.383</v>
      </c>
      <c r="C789" t="str">
        <f t="shared" si="100"/>
        <v>FFDF53C0</v>
      </c>
      <c r="D789" t="s">
        <v>164</v>
      </c>
      <c r="E789">
        <v>24</v>
      </c>
      <c r="F789">
        <v>2024</v>
      </c>
      <c r="G789" t="s">
        <v>165</v>
      </c>
      <c r="J789" t="s">
        <v>166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"20:25:08.070"</f>
        <v>20:25:08.070</v>
      </c>
      <c r="T789" t="str">
        <f>"20:25:07.670"</f>
        <v>20:25:07.670</v>
      </c>
      <c r="U789" t="str">
        <f t="shared" si="97"/>
        <v>AA0632</v>
      </c>
      <c r="V789">
        <v>0</v>
      </c>
      <c r="W789">
        <v>0</v>
      </c>
      <c r="X789">
        <v>2</v>
      </c>
      <c r="Y789">
        <v>0</v>
      </c>
      <c r="AA789">
        <v>0</v>
      </c>
      <c r="AB789">
        <v>9</v>
      </c>
      <c r="AC789">
        <v>3</v>
      </c>
      <c r="AD789">
        <v>0</v>
      </c>
      <c r="AE789">
        <v>10</v>
      </c>
      <c r="AF789" t="s">
        <v>126</v>
      </c>
      <c r="AG789">
        <v>0</v>
      </c>
      <c r="AH789">
        <v>0</v>
      </c>
      <c r="AI789">
        <v>2</v>
      </c>
      <c r="AJ789">
        <v>0</v>
      </c>
      <c r="AK789" t="s">
        <v>534</v>
      </c>
      <c r="AL789">
        <v>31.922277999999999</v>
      </c>
      <c r="AM789" t="s">
        <v>536</v>
      </c>
      <c r="AN789">
        <v>-101.013901</v>
      </c>
      <c r="AQ789" t="s">
        <v>129</v>
      </c>
      <c r="AR789">
        <v>92</v>
      </c>
      <c r="AS789">
        <v>-4</v>
      </c>
      <c r="AT789">
        <v>576</v>
      </c>
      <c r="BB789" t="str">
        <f t="shared" si="98"/>
        <v>1200</v>
      </c>
      <c r="BC789">
        <v>1</v>
      </c>
      <c r="BD789" t="str">
        <f t="shared" si="101"/>
        <v xml:space="preserve">N745MB  </v>
      </c>
      <c r="BE789">
        <v>1</v>
      </c>
      <c r="BG789">
        <v>0</v>
      </c>
      <c r="BH789">
        <v>0</v>
      </c>
      <c r="BI789">
        <v>0</v>
      </c>
      <c r="BL789" t="s">
        <v>130</v>
      </c>
      <c r="BM789">
        <v>1</v>
      </c>
      <c r="BN789">
        <v>0</v>
      </c>
      <c r="BO789">
        <v>0</v>
      </c>
      <c r="BP789">
        <v>0</v>
      </c>
      <c r="BT789">
        <v>0</v>
      </c>
      <c r="BU789">
        <v>0</v>
      </c>
      <c r="CE789" t="str">
        <f>"20:25:08.076"</f>
        <v>20:25:08.076</v>
      </c>
      <c r="CF789">
        <v>75696653</v>
      </c>
      <c r="CS789">
        <v>0</v>
      </c>
      <c r="CT789">
        <v>2</v>
      </c>
      <c r="CU789">
        <v>0</v>
      </c>
      <c r="CV789">
        <v>2</v>
      </c>
      <c r="CW789">
        <v>0</v>
      </c>
      <c r="CX789">
        <v>4</v>
      </c>
      <c r="CY789">
        <v>7</v>
      </c>
      <c r="CZ789" t="s">
        <v>131</v>
      </c>
      <c r="DA789">
        <v>483</v>
      </c>
      <c r="DB789">
        <v>1</v>
      </c>
      <c r="DC789" t="s">
        <v>169</v>
      </c>
      <c r="DD789" t="s">
        <v>170</v>
      </c>
      <c r="DG789">
        <v>7369429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1</v>
      </c>
      <c r="DQ789">
        <v>0</v>
      </c>
      <c r="DR789">
        <v>0</v>
      </c>
      <c r="DS789">
        <v>0</v>
      </c>
    </row>
    <row r="790" spans="1:123" x14ac:dyDescent="0.25">
      <c r="A790" t="str">
        <f>"11/29/2023 20:25:08.383"</f>
        <v>11/29/2023 20:25:08.383</v>
      </c>
      <c r="C790" t="str">
        <f t="shared" si="100"/>
        <v>FFDF53C0</v>
      </c>
      <c r="D790" t="s">
        <v>138</v>
      </c>
      <c r="E790">
        <v>3</v>
      </c>
      <c r="H790">
        <v>160</v>
      </c>
      <c r="I790" t="s">
        <v>124</v>
      </c>
      <c r="J790" t="s">
        <v>139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"20:25:08.070"</f>
        <v>20:25:08.070</v>
      </c>
      <c r="T790" t="str">
        <f>"20:25:07.670"</f>
        <v>20:25:07.670</v>
      </c>
      <c r="U790" t="str">
        <f t="shared" si="97"/>
        <v>AA0632</v>
      </c>
      <c r="V790">
        <v>0</v>
      </c>
      <c r="W790">
        <v>0</v>
      </c>
      <c r="X790">
        <v>2</v>
      </c>
      <c r="Y790">
        <v>0</v>
      </c>
      <c r="AA790">
        <v>0</v>
      </c>
      <c r="AB790">
        <v>9</v>
      </c>
      <c r="AC790">
        <v>3</v>
      </c>
      <c r="AD790">
        <v>0</v>
      </c>
      <c r="AE790">
        <v>10</v>
      </c>
      <c r="AF790" t="s">
        <v>126</v>
      </c>
      <c r="AG790">
        <v>0</v>
      </c>
      <c r="AH790">
        <v>0</v>
      </c>
      <c r="AI790">
        <v>2</v>
      </c>
      <c r="AJ790">
        <v>0</v>
      </c>
      <c r="AK790" t="s">
        <v>534</v>
      </c>
      <c r="AL790">
        <v>31.922277999999999</v>
      </c>
      <c r="AM790" t="s">
        <v>536</v>
      </c>
      <c r="AN790">
        <v>-101.013901</v>
      </c>
      <c r="AQ790" t="s">
        <v>129</v>
      </c>
      <c r="AR790">
        <v>92</v>
      </c>
      <c r="AS790">
        <v>-4</v>
      </c>
      <c r="AT790">
        <v>576</v>
      </c>
      <c r="BB790" t="str">
        <f t="shared" si="98"/>
        <v>1200</v>
      </c>
      <c r="BC790">
        <v>1</v>
      </c>
      <c r="BD790" t="str">
        <f t="shared" si="101"/>
        <v xml:space="preserve">N745MB  </v>
      </c>
      <c r="BE790">
        <v>1</v>
      </c>
      <c r="BG790">
        <v>0</v>
      </c>
      <c r="BH790">
        <v>0</v>
      </c>
      <c r="BI790">
        <v>0</v>
      </c>
      <c r="BL790" t="s">
        <v>130</v>
      </c>
      <c r="BM790">
        <v>1</v>
      </c>
      <c r="BN790">
        <v>0</v>
      </c>
      <c r="BO790">
        <v>0</v>
      </c>
      <c r="BP790">
        <v>0</v>
      </c>
      <c r="BT790">
        <v>0</v>
      </c>
      <c r="BU790">
        <v>0</v>
      </c>
      <c r="CE790" t="str">
        <f>"20:25:08.076"</f>
        <v>20:25:08.076</v>
      </c>
      <c r="CF790">
        <v>75696653</v>
      </c>
      <c r="CS790">
        <v>0</v>
      </c>
      <c r="CT790">
        <v>2</v>
      </c>
      <c r="CU790">
        <v>0</v>
      </c>
      <c r="CV790">
        <v>2</v>
      </c>
      <c r="CW790">
        <v>0</v>
      </c>
      <c r="CX790">
        <v>4</v>
      </c>
      <c r="CY790">
        <v>7</v>
      </c>
      <c r="CZ790" t="s">
        <v>131</v>
      </c>
      <c r="DA790">
        <v>483</v>
      </c>
      <c r="DB790">
        <v>1</v>
      </c>
      <c r="DC790" t="s">
        <v>169</v>
      </c>
      <c r="DD790" t="s">
        <v>170</v>
      </c>
      <c r="DG790">
        <v>7369429</v>
      </c>
      <c r="DI790">
        <v>0</v>
      </c>
      <c r="DJ790">
        <v>0</v>
      </c>
      <c r="DK790">
        <v>1</v>
      </c>
      <c r="DL790">
        <v>0</v>
      </c>
      <c r="DM790">
        <v>0</v>
      </c>
      <c r="DN790">
        <v>0</v>
      </c>
      <c r="DO790">
        <v>0</v>
      </c>
      <c r="DP790">
        <v>1</v>
      </c>
      <c r="DQ790">
        <v>0</v>
      </c>
      <c r="DR790">
        <v>0</v>
      </c>
      <c r="DS790">
        <v>0</v>
      </c>
    </row>
    <row r="791" spans="1:123" x14ac:dyDescent="0.25">
      <c r="A791" t="str">
        <f>"11/29/2023 20:25:08.383"</f>
        <v>11/29/2023 20:25:08.383</v>
      </c>
      <c r="C791" t="str">
        <f t="shared" si="100"/>
        <v>FFDF53C0</v>
      </c>
      <c r="D791" t="s">
        <v>123</v>
      </c>
      <c r="E791">
        <v>14</v>
      </c>
      <c r="F791">
        <v>1014</v>
      </c>
      <c r="G791" t="s">
        <v>124</v>
      </c>
      <c r="J791" t="s">
        <v>125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"20:25:08.070"</f>
        <v>20:25:08.070</v>
      </c>
      <c r="T791" t="str">
        <f>"20:25:07.670"</f>
        <v>20:25:07.670</v>
      </c>
      <c r="U791" t="str">
        <f t="shared" si="97"/>
        <v>AA0632</v>
      </c>
      <c r="V791">
        <v>0</v>
      </c>
      <c r="W791">
        <v>0</v>
      </c>
      <c r="X791">
        <v>2</v>
      </c>
      <c r="Y791">
        <v>0</v>
      </c>
      <c r="AA791">
        <v>0</v>
      </c>
      <c r="AB791">
        <v>9</v>
      </c>
      <c r="AC791">
        <v>3</v>
      </c>
      <c r="AD791">
        <v>0</v>
      </c>
      <c r="AE791">
        <v>10</v>
      </c>
      <c r="AF791" t="s">
        <v>126</v>
      </c>
      <c r="AG791">
        <v>0</v>
      </c>
      <c r="AH791">
        <v>0</v>
      </c>
      <c r="AI791">
        <v>2</v>
      </c>
      <c r="AJ791">
        <v>0</v>
      </c>
      <c r="AK791" t="s">
        <v>534</v>
      </c>
      <c r="AL791">
        <v>31.922277999999999</v>
      </c>
      <c r="AM791" t="s">
        <v>536</v>
      </c>
      <c r="AN791">
        <v>-101.013901</v>
      </c>
      <c r="AQ791" t="s">
        <v>129</v>
      </c>
      <c r="AR791">
        <v>92</v>
      </c>
      <c r="AS791">
        <v>-4</v>
      </c>
      <c r="AT791">
        <v>576</v>
      </c>
      <c r="BB791" t="str">
        <f t="shared" si="98"/>
        <v>1200</v>
      </c>
      <c r="BC791">
        <v>1</v>
      </c>
      <c r="BD791" t="str">
        <f t="shared" si="101"/>
        <v xml:space="preserve">N745MB  </v>
      </c>
      <c r="BE791">
        <v>1</v>
      </c>
      <c r="BG791">
        <v>0</v>
      </c>
      <c r="BH791">
        <v>0</v>
      </c>
      <c r="BI791">
        <v>0</v>
      </c>
      <c r="BL791" t="s">
        <v>130</v>
      </c>
      <c r="BM791">
        <v>1</v>
      </c>
      <c r="BN791">
        <v>0</v>
      </c>
      <c r="BO791">
        <v>0</v>
      </c>
      <c r="BP791">
        <v>0</v>
      </c>
      <c r="BT791">
        <v>0</v>
      </c>
      <c r="BU791">
        <v>0</v>
      </c>
      <c r="CE791" t="str">
        <f>"20:25:08.076"</f>
        <v>20:25:08.076</v>
      </c>
      <c r="CF791">
        <v>75696653</v>
      </c>
      <c r="CS791">
        <v>0</v>
      </c>
      <c r="CT791">
        <v>2</v>
      </c>
      <c r="CU791">
        <v>0</v>
      </c>
      <c r="CV791">
        <v>2</v>
      </c>
      <c r="CW791">
        <v>0</v>
      </c>
      <c r="CX791">
        <v>4</v>
      </c>
      <c r="CY791">
        <v>7</v>
      </c>
      <c r="CZ791" t="s">
        <v>131</v>
      </c>
      <c r="DA791">
        <v>483</v>
      </c>
      <c r="DB791">
        <v>1</v>
      </c>
      <c r="DC791" t="s">
        <v>169</v>
      </c>
      <c r="DD791" t="s">
        <v>170</v>
      </c>
      <c r="DG791">
        <v>7369429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1</v>
      </c>
      <c r="DQ791">
        <v>0</v>
      </c>
      <c r="DR791">
        <v>0</v>
      </c>
      <c r="DS791">
        <v>0</v>
      </c>
    </row>
    <row r="792" spans="1:123" x14ac:dyDescent="0.25">
      <c r="A792" t="str">
        <f>"11/29/2023 20:25:09.461"</f>
        <v>11/29/2023 20:25:09.461</v>
      </c>
      <c r="C792" t="str">
        <f t="shared" si="100"/>
        <v>FFDF53C0</v>
      </c>
      <c r="D792" t="s">
        <v>138</v>
      </c>
      <c r="E792">
        <v>3</v>
      </c>
      <c r="H792">
        <v>160</v>
      </c>
      <c r="I792" t="s">
        <v>124</v>
      </c>
      <c r="J792" t="s">
        <v>139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"20:25:09.164"</f>
        <v>20:25:09.164</v>
      </c>
      <c r="T792" t="str">
        <f>"20:25:08.964"</f>
        <v>20:25:08.964</v>
      </c>
      <c r="U792" t="str">
        <f t="shared" si="97"/>
        <v>AA0632</v>
      </c>
      <c r="V792">
        <v>0</v>
      </c>
      <c r="W792">
        <v>0</v>
      </c>
      <c r="X792">
        <v>2</v>
      </c>
      <c r="Y792">
        <v>0</v>
      </c>
      <c r="AA792">
        <v>0</v>
      </c>
      <c r="AB792">
        <v>9</v>
      </c>
      <c r="AC792">
        <v>3</v>
      </c>
      <c r="AD792">
        <v>0</v>
      </c>
      <c r="AE792">
        <v>10</v>
      </c>
      <c r="AF792" t="s">
        <v>126</v>
      </c>
      <c r="AG792">
        <v>0</v>
      </c>
      <c r="AH792">
        <v>0</v>
      </c>
      <c r="AI792">
        <v>2</v>
      </c>
      <c r="AJ792">
        <v>0</v>
      </c>
      <c r="AK792" t="s">
        <v>537</v>
      </c>
      <c r="AL792">
        <v>31.922256999999998</v>
      </c>
      <c r="AM792" t="s">
        <v>538</v>
      </c>
      <c r="AN792">
        <v>-101.01334300000001</v>
      </c>
      <c r="AQ792" t="s">
        <v>129</v>
      </c>
      <c r="AR792">
        <v>92</v>
      </c>
      <c r="AS792">
        <v>-2</v>
      </c>
      <c r="AT792">
        <v>448</v>
      </c>
      <c r="BB792" t="str">
        <f t="shared" si="98"/>
        <v>1200</v>
      </c>
      <c r="BC792">
        <v>1</v>
      </c>
      <c r="BD792" t="str">
        <f t="shared" si="101"/>
        <v xml:space="preserve">N745MB  </v>
      </c>
      <c r="BE792">
        <v>1</v>
      </c>
      <c r="BG792">
        <v>0</v>
      </c>
      <c r="BH792">
        <v>0</v>
      </c>
      <c r="BI792">
        <v>0</v>
      </c>
      <c r="BL792" t="s">
        <v>130</v>
      </c>
      <c r="BM792">
        <v>1</v>
      </c>
      <c r="BN792">
        <v>0</v>
      </c>
      <c r="BO792">
        <v>0</v>
      </c>
      <c r="BP792">
        <v>0</v>
      </c>
      <c r="BT792">
        <v>0</v>
      </c>
      <c r="BU792">
        <v>0</v>
      </c>
      <c r="CE792" t="str">
        <f>"20:25:09.170"</f>
        <v>20:25:09.170</v>
      </c>
      <c r="CF792">
        <v>169612819</v>
      </c>
      <c r="CS792">
        <v>0</v>
      </c>
      <c r="CT792">
        <v>2</v>
      </c>
      <c r="CU792">
        <v>0</v>
      </c>
      <c r="CV792">
        <v>2</v>
      </c>
      <c r="CW792">
        <v>0</v>
      </c>
      <c r="CX792">
        <v>5</v>
      </c>
      <c r="CY792">
        <v>7</v>
      </c>
      <c r="CZ792" t="s">
        <v>131</v>
      </c>
      <c r="DA792">
        <v>116</v>
      </c>
      <c r="DB792">
        <v>0</v>
      </c>
      <c r="DC792" t="s">
        <v>132</v>
      </c>
      <c r="DD792" t="s">
        <v>133</v>
      </c>
      <c r="DG792">
        <v>14633190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1</v>
      </c>
      <c r="DQ792">
        <v>0</v>
      </c>
      <c r="DR792">
        <v>0</v>
      </c>
      <c r="DS792">
        <v>0</v>
      </c>
    </row>
    <row r="793" spans="1:123" x14ac:dyDescent="0.25">
      <c r="A793" t="str">
        <f>"11/29/2023 20:25:09.461"</f>
        <v>11/29/2023 20:25:09.461</v>
      </c>
      <c r="C793" t="str">
        <f t="shared" si="100"/>
        <v>FFDF53C0</v>
      </c>
      <c r="D793" t="s">
        <v>123</v>
      </c>
      <c r="E793">
        <v>14</v>
      </c>
      <c r="F793">
        <v>1014</v>
      </c>
      <c r="G793" t="s">
        <v>124</v>
      </c>
      <c r="J793" t="s">
        <v>125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"20:25:09.164"</f>
        <v>20:25:09.164</v>
      </c>
      <c r="T793" t="str">
        <f>"20:25:08.964"</f>
        <v>20:25:08.964</v>
      </c>
      <c r="U793" t="str">
        <f t="shared" si="97"/>
        <v>AA0632</v>
      </c>
      <c r="V793">
        <v>0</v>
      </c>
      <c r="W793">
        <v>0</v>
      </c>
      <c r="X793">
        <v>2</v>
      </c>
      <c r="Y793">
        <v>0</v>
      </c>
      <c r="AA793">
        <v>0</v>
      </c>
      <c r="AB793">
        <v>9</v>
      </c>
      <c r="AC793">
        <v>3</v>
      </c>
      <c r="AD793">
        <v>0</v>
      </c>
      <c r="AE793">
        <v>10</v>
      </c>
      <c r="AF793" t="s">
        <v>126</v>
      </c>
      <c r="AG793">
        <v>0</v>
      </c>
      <c r="AH793">
        <v>0</v>
      </c>
      <c r="AI793">
        <v>2</v>
      </c>
      <c r="AJ793">
        <v>0</v>
      </c>
      <c r="AK793" t="s">
        <v>537</v>
      </c>
      <c r="AL793">
        <v>31.922256999999998</v>
      </c>
      <c r="AM793" t="s">
        <v>538</v>
      </c>
      <c r="AN793">
        <v>-101.01334300000001</v>
      </c>
      <c r="AQ793" t="s">
        <v>129</v>
      </c>
      <c r="AR793">
        <v>92</v>
      </c>
      <c r="AS793">
        <v>-2</v>
      </c>
      <c r="AT793">
        <v>448</v>
      </c>
      <c r="BB793" t="str">
        <f t="shared" si="98"/>
        <v>1200</v>
      </c>
      <c r="BC793">
        <v>1</v>
      </c>
      <c r="BD793" t="str">
        <f t="shared" si="101"/>
        <v xml:space="preserve">N745MB  </v>
      </c>
      <c r="BE793">
        <v>1</v>
      </c>
      <c r="BG793">
        <v>0</v>
      </c>
      <c r="BH793">
        <v>0</v>
      </c>
      <c r="BI793">
        <v>0</v>
      </c>
      <c r="BL793" t="s">
        <v>130</v>
      </c>
      <c r="BM793">
        <v>1</v>
      </c>
      <c r="BN793">
        <v>0</v>
      </c>
      <c r="BO793">
        <v>0</v>
      </c>
      <c r="BP793">
        <v>0</v>
      </c>
      <c r="BT793">
        <v>0</v>
      </c>
      <c r="BU793">
        <v>0</v>
      </c>
      <c r="CE793" t="str">
        <f>"20:25:09.170"</f>
        <v>20:25:09.170</v>
      </c>
      <c r="CF793">
        <v>169612819</v>
      </c>
      <c r="CS793">
        <v>0</v>
      </c>
      <c r="CT793">
        <v>2</v>
      </c>
      <c r="CU793">
        <v>0</v>
      </c>
      <c r="CV793">
        <v>2</v>
      </c>
      <c r="CW793">
        <v>0</v>
      </c>
      <c r="CX793">
        <v>5</v>
      </c>
      <c r="CY793">
        <v>7</v>
      </c>
      <c r="CZ793" t="s">
        <v>131</v>
      </c>
      <c r="DA793">
        <v>116</v>
      </c>
      <c r="DB793">
        <v>0</v>
      </c>
      <c r="DC793" t="s">
        <v>132</v>
      </c>
      <c r="DD793" t="s">
        <v>133</v>
      </c>
      <c r="DG793">
        <v>14633190</v>
      </c>
      <c r="DI793">
        <v>0</v>
      </c>
      <c r="DJ793">
        <v>0</v>
      </c>
      <c r="DK793">
        <v>1</v>
      </c>
      <c r="DL793">
        <v>0</v>
      </c>
      <c r="DM793">
        <v>0</v>
      </c>
      <c r="DN793">
        <v>0</v>
      </c>
      <c r="DO793">
        <v>0</v>
      </c>
      <c r="DP793">
        <v>1</v>
      </c>
      <c r="DQ793">
        <v>0</v>
      </c>
      <c r="DR793">
        <v>0</v>
      </c>
      <c r="DS793">
        <v>0</v>
      </c>
    </row>
    <row r="794" spans="1:123" x14ac:dyDescent="0.25">
      <c r="A794" t="str">
        <f>"11/29/2023 20:25:09.461"</f>
        <v>11/29/2023 20:25:09.461</v>
      </c>
      <c r="C794" t="str">
        <f t="shared" si="100"/>
        <v>FFDF53C0</v>
      </c>
      <c r="D794" t="s">
        <v>123</v>
      </c>
      <c r="E794">
        <v>1</v>
      </c>
      <c r="F794">
        <v>1001</v>
      </c>
      <c r="G794" t="s">
        <v>134</v>
      </c>
      <c r="J794" t="s">
        <v>125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"20:25:09.164"</f>
        <v>20:25:09.164</v>
      </c>
      <c r="T794" t="str">
        <f>"20:25:08.964"</f>
        <v>20:25:08.964</v>
      </c>
      <c r="U794" t="str">
        <f t="shared" si="97"/>
        <v>AA0632</v>
      </c>
      <c r="V794">
        <v>0</v>
      </c>
      <c r="W794">
        <v>0</v>
      </c>
      <c r="X794">
        <v>2</v>
      </c>
      <c r="Y794">
        <v>0</v>
      </c>
      <c r="AA794">
        <v>0</v>
      </c>
      <c r="AB794">
        <v>9</v>
      </c>
      <c r="AC794">
        <v>3</v>
      </c>
      <c r="AD794">
        <v>0</v>
      </c>
      <c r="AE794">
        <v>10</v>
      </c>
      <c r="AF794" t="s">
        <v>126</v>
      </c>
      <c r="AG794">
        <v>0</v>
      </c>
      <c r="AH794">
        <v>0</v>
      </c>
      <c r="AI794">
        <v>2</v>
      </c>
      <c r="AJ794">
        <v>0</v>
      </c>
      <c r="AK794" t="s">
        <v>537</v>
      </c>
      <c r="AL794">
        <v>31.922256999999998</v>
      </c>
      <c r="AM794" t="s">
        <v>538</v>
      </c>
      <c r="AN794">
        <v>-101.01334300000001</v>
      </c>
      <c r="AQ794" t="s">
        <v>129</v>
      </c>
      <c r="AR794">
        <v>92</v>
      </c>
      <c r="AS794">
        <v>-2</v>
      </c>
      <c r="AT794">
        <v>448</v>
      </c>
      <c r="BB794" t="str">
        <f t="shared" si="98"/>
        <v>1200</v>
      </c>
      <c r="BC794">
        <v>1</v>
      </c>
      <c r="BD794" t="str">
        <f t="shared" si="101"/>
        <v xml:space="preserve">N745MB  </v>
      </c>
      <c r="BE794">
        <v>1</v>
      </c>
      <c r="BG794">
        <v>0</v>
      </c>
      <c r="BH794">
        <v>0</v>
      </c>
      <c r="BI794">
        <v>0</v>
      </c>
      <c r="BL794" t="s">
        <v>130</v>
      </c>
      <c r="BM794">
        <v>1</v>
      </c>
      <c r="BN794">
        <v>0</v>
      </c>
      <c r="BO794">
        <v>0</v>
      </c>
      <c r="BP794">
        <v>0</v>
      </c>
      <c r="BT794">
        <v>0</v>
      </c>
      <c r="BU794">
        <v>0</v>
      </c>
      <c r="CE794" t="str">
        <f>"20:25:09.170"</f>
        <v>20:25:09.170</v>
      </c>
      <c r="CF794">
        <v>169612819</v>
      </c>
      <c r="CS794">
        <v>0</v>
      </c>
      <c r="CT794">
        <v>2</v>
      </c>
      <c r="CU794">
        <v>0</v>
      </c>
      <c r="CV794">
        <v>2</v>
      </c>
      <c r="CW794">
        <v>0</v>
      </c>
      <c r="CX794">
        <v>5</v>
      </c>
      <c r="CY794">
        <v>7</v>
      </c>
      <c r="CZ794" t="s">
        <v>131</v>
      </c>
      <c r="DA794">
        <v>116</v>
      </c>
      <c r="DB794">
        <v>0</v>
      </c>
      <c r="DC794" t="s">
        <v>132</v>
      </c>
      <c r="DD794" t="s">
        <v>133</v>
      </c>
      <c r="DG794">
        <v>14633190</v>
      </c>
      <c r="DI794">
        <v>0</v>
      </c>
      <c r="DJ794">
        <v>0</v>
      </c>
      <c r="DK794">
        <v>1</v>
      </c>
      <c r="DL794">
        <v>0</v>
      </c>
      <c r="DM794">
        <v>0</v>
      </c>
      <c r="DN794">
        <v>0</v>
      </c>
      <c r="DO794">
        <v>0</v>
      </c>
      <c r="DP794">
        <v>1</v>
      </c>
      <c r="DQ794">
        <v>0</v>
      </c>
      <c r="DR794">
        <v>0</v>
      </c>
      <c r="DS794">
        <v>0</v>
      </c>
    </row>
    <row r="795" spans="1:123" x14ac:dyDescent="0.25">
      <c r="A795" t="str">
        <f>"11/29/2023 20:25:09.461"</f>
        <v>11/29/2023 20:25:09.461</v>
      </c>
      <c r="C795" t="str">
        <f t="shared" si="100"/>
        <v>FFDF53C0</v>
      </c>
      <c r="D795" t="s">
        <v>135</v>
      </c>
      <c r="E795">
        <v>31</v>
      </c>
      <c r="H795">
        <v>285</v>
      </c>
      <c r="I795" t="s">
        <v>136</v>
      </c>
      <c r="J795" t="s">
        <v>137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"20:25:09.164"</f>
        <v>20:25:09.164</v>
      </c>
      <c r="T795" t="str">
        <f>"20:25:08.964"</f>
        <v>20:25:08.964</v>
      </c>
      <c r="U795" t="str">
        <f t="shared" si="97"/>
        <v>AA0632</v>
      </c>
      <c r="V795">
        <v>0</v>
      </c>
      <c r="W795">
        <v>0</v>
      </c>
      <c r="X795">
        <v>2</v>
      </c>
      <c r="Y795">
        <v>0</v>
      </c>
      <c r="AA795">
        <v>0</v>
      </c>
      <c r="AB795">
        <v>9</v>
      </c>
      <c r="AC795">
        <v>3</v>
      </c>
      <c r="AD795">
        <v>0</v>
      </c>
      <c r="AE795">
        <v>10</v>
      </c>
      <c r="AF795" t="s">
        <v>126</v>
      </c>
      <c r="AG795">
        <v>0</v>
      </c>
      <c r="AH795">
        <v>0</v>
      </c>
      <c r="AI795">
        <v>2</v>
      </c>
      <c r="AJ795">
        <v>0</v>
      </c>
      <c r="AK795" t="s">
        <v>537</v>
      </c>
      <c r="AL795">
        <v>31.922256999999998</v>
      </c>
      <c r="AM795" t="s">
        <v>538</v>
      </c>
      <c r="AN795">
        <v>-101.01334300000001</v>
      </c>
      <c r="AQ795" t="s">
        <v>129</v>
      </c>
      <c r="AR795">
        <v>92</v>
      </c>
      <c r="AS795">
        <v>-2</v>
      </c>
      <c r="AT795">
        <v>448</v>
      </c>
      <c r="BB795" t="str">
        <f t="shared" si="98"/>
        <v>1200</v>
      </c>
      <c r="BC795">
        <v>1</v>
      </c>
      <c r="BD795" t="str">
        <f t="shared" si="101"/>
        <v xml:space="preserve">N745MB  </v>
      </c>
      <c r="BE795">
        <v>1</v>
      </c>
      <c r="BG795">
        <v>0</v>
      </c>
      <c r="BH795">
        <v>0</v>
      </c>
      <c r="BI795">
        <v>0</v>
      </c>
      <c r="BL795" t="s">
        <v>130</v>
      </c>
      <c r="BM795">
        <v>1</v>
      </c>
      <c r="BN795">
        <v>0</v>
      </c>
      <c r="BO795">
        <v>0</v>
      </c>
      <c r="BP795">
        <v>0</v>
      </c>
      <c r="BT795">
        <v>0</v>
      </c>
      <c r="BU795">
        <v>0</v>
      </c>
      <c r="CE795" t="str">
        <f>"20:25:09.170"</f>
        <v>20:25:09.170</v>
      </c>
      <c r="CF795">
        <v>169612819</v>
      </c>
      <c r="CS795">
        <v>0</v>
      </c>
      <c r="CT795">
        <v>2</v>
      </c>
      <c r="CU795">
        <v>0</v>
      </c>
      <c r="CV795">
        <v>2</v>
      </c>
      <c r="CW795">
        <v>0</v>
      </c>
      <c r="CX795">
        <v>5</v>
      </c>
      <c r="CY795">
        <v>7</v>
      </c>
      <c r="CZ795" t="s">
        <v>131</v>
      </c>
      <c r="DA795">
        <v>116</v>
      </c>
      <c r="DB795">
        <v>0</v>
      </c>
      <c r="DC795" t="s">
        <v>132</v>
      </c>
      <c r="DD795" t="s">
        <v>133</v>
      </c>
      <c r="DG795">
        <v>14633190</v>
      </c>
      <c r="DI795">
        <v>0</v>
      </c>
      <c r="DJ795">
        <v>0</v>
      </c>
      <c r="DK795">
        <v>1</v>
      </c>
      <c r="DL795">
        <v>0</v>
      </c>
      <c r="DM795">
        <v>0</v>
      </c>
      <c r="DN795">
        <v>0</v>
      </c>
      <c r="DO795">
        <v>0</v>
      </c>
      <c r="DP795">
        <v>1</v>
      </c>
      <c r="DQ795">
        <v>0</v>
      </c>
      <c r="DR795">
        <v>0</v>
      </c>
      <c r="DS795">
        <v>0</v>
      </c>
    </row>
    <row r="796" spans="1:123" x14ac:dyDescent="0.25">
      <c r="A796" t="str">
        <f>"11/29/2023 20:25:10.696"</f>
        <v>11/29/2023 20:25:10.696</v>
      </c>
      <c r="C796" t="str">
        <f t="shared" si="100"/>
        <v>FFDF53C0</v>
      </c>
      <c r="D796" t="s">
        <v>138</v>
      </c>
      <c r="E796">
        <v>3</v>
      </c>
      <c r="H796">
        <v>160</v>
      </c>
      <c r="I796" t="s">
        <v>124</v>
      </c>
      <c r="J796" t="s">
        <v>139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"20:25:10.258"</f>
        <v>20:25:10.258</v>
      </c>
      <c r="T796" t="str">
        <f>"20:25:09.858"</f>
        <v>20:25:09.858</v>
      </c>
      <c r="U796" t="str">
        <f t="shared" si="97"/>
        <v>AA0632</v>
      </c>
      <c r="V796">
        <v>0</v>
      </c>
      <c r="W796">
        <v>0</v>
      </c>
      <c r="X796">
        <v>2</v>
      </c>
      <c r="Y796">
        <v>0</v>
      </c>
      <c r="AA796">
        <v>0</v>
      </c>
      <c r="AB796">
        <v>9</v>
      </c>
      <c r="AC796">
        <v>3</v>
      </c>
      <c r="AD796">
        <v>0</v>
      </c>
      <c r="AE796">
        <v>10</v>
      </c>
      <c r="AF796" t="s">
        <v>126</v>
      </c>
      <c r="AG796">
        <v>0</v>
      </c>
      <c r="AH796">
        <v>0</v>
      </c>
      <c r="AI796">
        <v>2</v>
      </c>
      <c r="AJ796">
        <v>0</v>
      </c>
      <c r="AK796" t="s">
        <v>539</v>
      </c>
      <c r="AL796">
        <v>31.922235000000001</v>
      </c>
      <c r="AM796" t="s">
        <v>540</v>
      </c>
      <c r="AN796">
        <v>-101.012807</v>
      </c>
      <c r="AQ796" t="s">
        <v>129</v>
      </c>
      <c r="AR796">
        <v>92</v>
      </c>
      <c r="AS796">
        <v>-2</v>
      </c>
      <c r="AT796">
        <v>320</v>
      </c>
      <c r="BB796" t="str">
        <f t="shared" si="98"/>
        <v>1200</v>
      </c>
      <c r="BC796">
        <v>1</v>
      </c>
      <c r="BD796" t="str">
        <f t="shared" si="101"/>
        <v xml:space="preserve">N745MB  </v>
      </c>
      <c r="BE796">
        <v>1</v>
      </c>
      <c r="BG796">
        <v>0</v>
      </c>
      <c r="BH796">
        <v>0</v>
      </c>
      <c r="BI796">
        <v>0</v>
      </c>
      <c r="BL796" t="s">
        <v>130</v>
      </c>
      <c r="BM796">
        <v>1</v>
      </c>
      <c r="BN796">
        <v>0</v>
      </c>
      <c r="BO796">
        <v>0</v>
      </c>
      <c r="BP796">
        <v>0</v>
      </c>
      <c r="BT796">
        <v>0</v>
      </c>
      <c r="BU796">
        <v>0</v>
      </c>
      <c r="CE796" t="str">
        <f>"20:25:10.262"</f>
        <v>20:25:10.262</v>
      </c>
      <c r="CF796">
        <v>261541945</v>
      </c>
      <c r="CS796">
        <v>0</v>
      </c>
      <c r="CT796">
        <v>2</v>
      </c>
      <c r="CU796">
        <v>0</v>
      </c>
      <c r="CV796">
        <v>2</v>
      </c>
      <c r="CW796">
        <v>0</v>
      </c>
      <c r="CX796">
        <v>5</v>
      </c>
      <c r="CY796">
        <v>7</v>
      </c>
      <c r="CZ796" t="s">
        <v>131</v>
      </c>
      <c r="DA796">
        <v>116</v>
      </c>
      <c r="DB796">
        <v>0</v>
      </c>
      <c r="DC796" t="s">
        <v>132</v>
      </c>
      <c r="DD796" t="s">
        <v>133</v>
      </c>
      <c r="DG796">
        <v>14634106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1</v>
      </c>
      <c r="DQ796">
        <v>0</v>
      </c>
      <c r="DR796">
        <v>0</v>
      </c>
      <c r="DS796">
        <v>0</v>
      </c>
    </row>
    <row r="797" spans="1:123" x14ac:dyDescent="0.25">
      <c r="A797" t="str">
        <f>"11/29/2023 20:25:10.696"</f>
        <v>11/29/2023 20:25:10.696</v>
      </c>
      <c r="C797" t="str">
        <f t="shared" si="100"/>
        <v>FFDF53C0</v>
      </c>
      <c r="D797" t="s">
        <v>123</v>
      </c>
      <c r="E797">
        <v>14</v>
      </c>
      <c r="F797">
        <v>1014</v>
      </c>
      <c r="G797" t="s">
        <v>124</v>
      </c>
      <c r="J797" t="s">
        <v>125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>"20:25:10.258"</f>
        <v>20:25:10.258</v>
      </c>
      <c r="T797" t="str">
        <f>"20:25:09.858"</f>
        <v>20:25:09.858</v>
      </c>
      <c r="U797" t="str">
        <f t="shared" si="97"/>
        <v>AA0632</v>
      </c>
      <c r="V797">
        <v>0</v>
      </c>
      <c r="W797">
        <v>0</v>
      </c>
      <c r="X797">
        <v>2</v>
      </c>
      <c r="Y797">
        <v>0</v>
      </c>
      <c r="AA797">
        <v>0</v>
      </c>
      <c r="AB797">
        <v>9</v>
      </c>
      <c r="AC797">
        <v>3</v>
      </c>
      <c r="AD797">
        <v>0</v>
      </c>
      <c r="AE797">
        <v>10</v>
      </c>
      <c r="AF797" t="s">
        <v>126</v>
      </c>
      <c r="AG797">
        <v>0</v>
      </c>
      <c r="AH797">
        <v>0</v>
      </c>
      <c r="AI797">
        <v>2</v>
      </c>
      <c r="AJ797">
        <v>0</v>
      </c>
      <c r="AK797" t="s">
        <v>539</v>
      </c>
      <c r="AL797">
        <v>31.922235000000001</v>
      </c>
      <c r="AM797" t="s">
        <v>540</v>
      </c>
      <c r="AN797">
        <v>-101.012807</v>
      </c>
      <c r="AQ797" t="s">
        <v>129</v>
      </c>
      <c r="AR797">
        <v>92</v>
      </c>
      <c r="AS797">
        <v>-2</v>
      </c>
      <c r="AT797">
        <v>320</v>
      </c>
      <c r="BB797" t="str">
        <f t="shared" si="98"/>
        <v>1200</v>
      </c>
      <c r="BC797">
        <v>1</v>
      </c>
      <c r="BD797" t="str">
        <f t="shared" si="101"/>
        <v xml:space="preserve">N745MB  </v>
      </c>
      <c r="BE797">
        <v>1</v>
      </c>
      <c r="BG797">
        <v>0</v>
      </c>
      <c r="BH797">
        <v>0</v>
      </c>
      <c r="BI797">
        <v>0</v>
      </c>
      <c r="BL797" t="s">
        <v>130</v>
      </c>
      <c r="BM797">
        <v>1</v>
      </c>
      <c r="BN797">
        <v>0</v>
      </c>
      <c r="BO797">
        <v>0</v>
      </c>
      <c r="BP797">
        <v>0</v>
      </c>
      <c r="BT797">
        <v>0</v>
      </c>
      <c r="BU797">
        <v>0</v>
      </c>
      <c r="CE797" t="str">
        <f>"20:25:10.262"</f>
        <v>20:25:10.262</v>
      </c>
      <c r="CF797">
        <v>261541945</v>
      </c>
      <c r="CS797">
        <v>0</v>
      </c>
      <c r="CT797">
        <v>2</v>
      </c>
      <c r="CU797">
        <v>0</v>
      </c>
      <c r="CV797">
        <v>2</v>
      </c>
      <c r="CW797">
        <v>0</v>
      </c>
      <c r="CX797">
        <v>5</v>
      </c>
      <c r="CY797">
        <v>7</v>
      </c>
      <c r="CZ797" t="s">
        <v>131</v>
      </c>
      <c r="DA797">
        <v>116</v>
      </c>
      <c r="DB797">
        <v>0</v>
      </c>
      <c r="DC797" t="s">
        <v>132</v>
      </c>
      <c r="DD797" t="s">
        <v>133</v>
      </c>
      <c r="DG797">
        <v>14634106</v>
      </c>
      <c r="DI797">
        <v>0</v>
      </c>
      <c r="DJ797">
        <v>0</v>
      </c>
      <c r="DK797">
        <v>1</v>
      </c>
      <c r="DL797">
        <v>0</v>
      </c>
      <c r="DM797">
        <v>0</v>
      </c>
      <c r="DN797">
        <v>0</v>
      </c>
      <c r="DO797">
        <v>0</v>
      </c>
      <c r="DP797">
        <v>1</v>
      </c>
      <c r="DQ797">
        <v>0</v>
      </c>
      <c r="DR797">
        <v>0</v>
      </c>
      <c r="DS797">
        <v>0</v>
      </c>
    </row>
    <row r="798" spans="1:123" x14ac:dyDescent="0.25">
      <c r="A798" t="str">
        <f>"11/29/2023 20:25:10.696"</f>
        <v>11/29/2023 20:25:10.696</v>
      </c>
      <c r="C798" t="str">
        <f t="shared" si="100"/>
        <v>FFDF53C0</v>
      </c>
      <c r="D798" t="s">
        <v>123</v>
      </c>
      <c r="E798">
        <v>1</v>
      </c>
      <c r="F798">
        <v>1001</v>
      </c>
      <c r="G798" t="s">
        <v>134</v>
      </c>
      <c r="J798" t="s">
        <v>125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>"20:25:10.258"</f>
        <v>20:25:10.258</v>
      </c>
      <c r="T798" t="str">
        <f>"20:25:09.858"</f>
        <v>20:25:09.858</v>
      </c>
      <c r="U798" t="str">
        <f t="shared" si="97"/>
        <v>AA0632</v>
      </c>
      <c r="V798">
        <v>0</v>
      </c>
      <c r="W798">
        <v>0</v>
      </c>
      <c r="X798">
        <v>2</v>
      </c>
      <c r="Y798">
        <v>0</v>
      </c>
      <c r="AA798">
        <v>0</v>
      </c>
      <c r="AB798">
        <v>9</v>
      </c>
      <c r="AC798">
        <v>3</v>
      </c>
      <c r="AD798">
        <v>0</v>
      </c>
      <c r="AE798">
        <v>10</v>
      </c>
      <c r="AF798" t="s">
        <v>126</v>
      </c>
      <c r="AG798">
        <v>0</v>
      </c>
      <c r="AH798">
        <v>0</v>
      </c>
      <c r="AI798">
        <v>2</v>
      </c>
      <c r="AJ798">
        <v>0</v>
      </c>
      <c r="AK798" t="s">
        <v>539</v>
      </c>
      <c r="AL798">
        <v>31.922235000000001</v>
      </c>
      <c r="AM798" t="s">
        <v>540</v>
      </c>
      <c r="AN798">
        <v>-101.012807</v>
      </c>
      <c r="AQ798" t="s">
        <v>129</v>
      </c>
      <c r="AR798">
        <v>92</v>
      </c>
      <c r="AS798">
        <v>-2</v>
      </c>
      <c r="AT798">
        <v>320</v>
      </c>
      <c r="BB798" t="str">
        <f t="shared" si="98"/>
        <v>1200</v>
      </c>
      <c r="BC798">
        <v>1</v>
      </c>
      <c r="BD798" t="str">
        <f t="shared" si="101"/>
        <v xml:space="preserve">N745MB  </v>
      </c>
      <c r="BE798">
        <v>1</v>
      </c>
      <c r="BG798">
        <v>0</v>
      </c>
      <c r="BH798">
        <v>0</v>
      </c>
      <c r="BI798">
        <v>0</v>
      </c>
      <c r="BL798" t="s">
        <v>130</v>
      </c>
      <c r="BM798">
        <v>1</v>
      </c>
      <c r="BN798">
        <v>0</v>
      </c>
      <c r="BO798">
        <v>0</v>
      </c>
      <c r="BP798">
        <v>0</v>
      </c>
      <c r="BT798">
        <v>0</v>
      </c>
      <c r="BU798">
        <v>0</v>
      </c>
      <c r="CE798" t="str">
        <f>"20:25:10.262"</f>
        <v>20:25:10.262</v>
      </c>
      <c r="CF798">
        <v>261541945</v>
      </c>
      <c r="CS798">
        <v>0</v>
      </c>
      <c r="CT798">
        <v>2</v>
      </c>
      <c r="CU798">
        <v>0</v>
      </c>
      <c r="CV798">
        <v>2</v>
      </c>
      <c r="CW798">
        <v>0</v>
      </c>
      <c r="CX798">
        <v>5</v>
      </c>
      <c r="CY798">
        <v>7</v>
      </c>
      <c r="CZ798" t="s">
        <v>131</v>
      </c>
      <c r="DA798">
        <v>116</v>
      </c>
      <c r="DB798">
        <v>0</v>
      </c>
      <c r="DC798" t="s">
        <v>132</v>
      </c>
      <c r="DD798" t="s">
        <v>133</v>
      </c>
      <c r="DG798">
        <v>14634106</v>
      </c>
      <c r="DI798">
        <v>0</v>
      </c>
      <c r="DJ798">
        <v>0</v>
      </c>
      <c r="DK798">
        <v>1</v>
      </c>
      <c r="DL798">
        <v>0</v>
      </c>
      <c r="DM798">
        <v>0</v>
      </c>
      <c r="DN798">
        <v>0</v>
      </c>
      <c r="DO798">
        <v>0</v>
      </c>
      <c r="DP798">
        <v>1</v>
      </c>
      <c r="DQ798">
        <v>0</v>
      </c>
      <c r="DR798">
        <v>0</v>
      </c>
      <c r="DS798">
        <v>0</v>
      </c>
    </row>
    <row r="799" spans="1:123" x14ac:dyDescent="0.25">
      <c r="A799" t="str">
        <f>"11/29/2023 20:25:10.696"</f>
        <v>11/29/2023 20:25:10.696</v>
      </c>
      <c r="C799" t="str">
        <f t="shared" si="100"/>
        <v>FFDF53C0</v>
      </c>
      <c r="D799" t="s">
        <v>135</v>
      </c>
      <c r="E799">
        <v>31</v>
      </c>
      <c r="H799">
        <v>285</v>
      </c>
      <c r="I799" t="s">
        <v>136</v>
      </c>
      <c r="J799" t="s">
        <v>137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>"20:25:10.258"</f>
        <v>20:25:10.258</v>
      </c>
      <c r="T799" t="str">
        <f>"20:25:09.858"</f>
        <v>20:25:09.858</v>
      </c>
      <c r="U799" t="str">
        <f t="shared" si="97"/>
        <v>AA0632</v>
      </c>
      <c r="V799">
        <v>0</v>
      </c>
      <c r="W799">
        <v>0</v>
      </c>
      <c r="X799">
        <v>2</v>
      </c>
      <c r="Y799">
        <v>0</v>
      </c>
      <c r="AA799">
        <v>0</v>
      </c>
      <c r="AB799">
        <v>9</v>
      </c>
      <c r="AC799">
        <v>3</v>
      </c>
      <c r="AD799">
        <v>0</v>
      </c>
      <c r="AE799">
        <v>10</v>
      </c>
      <c r="AF799" t="s">
        <v>126</v>
      </c>
      <c r="AG799">
        <v>0</v>
      </c>
      <c r="AH799">
        <v>0</v>
      </c>
      <c r="AI799">
        <v>2</v>
      </c>
      <c r="AJ799">
        <v>0</v>
      </c>
      <c r="AK799" t="s">
        <v>539</v>
      </c>
      <c r="AL799">
        <v>31.922235000000001</v>
      </c>
      <c r="AM799" t="s">
        <v>540</v>
      </c>
      <c r="AN799">
        <v>-101.012807</v>
      </c>
      <c r="AQ799" t="s">
        <v>129</v>
      </c>
      <c r="AR799">
        <v>92</v>
      </c>
      <c r="AS799">
        <v>-2</v>
      </c>
      <c r="AT799">
        <v>320</v>
      </c>
      <c r="BB799" t="str">
        <f t="shared" si="98"/>
        <v>1200</v>
      </c>
      <c r="BC799">
        <v>1</v>
      </c>
      <c r="BD799" t="str">
        <f t="shared" si="101"/>
        <v xml:space="preserve">N745MB  </v>
      </c>
      <c r="BE799">
        <v>1</v>
      </c>
      <c r="BG799">
        <v>0</v>
      </c>
      <c r="BH799">
        <v>0</v>
      </c>
      <c r="BI799">
        <v>0</v>
      </c>
      <c r="BL799" t="s">
        <v>130</v>
      </c>
      <c r="BM799">
        <v>1</v>
      </c>
      <c r="BN799">
        <v>0</v>
      </c>
      <c r="BO799">
        <v>0</v>
      </c>
      <c r="BP799">
        <v>0</v>
      </c>
      <c r="BT799">
        <v>0</v>
      </c>
      <c r="BU799">
        <v>0</v>
      </c>
      <c r="CE799" t="str">
        <f>"20:25:10.262"</f>
        <v>20:25:10.262</v>
      </c>
      <c r="CF799">
        <v>261541945</v>
      </c>
      <c r="CS799">
        <v>0</v>
      </c>
      <c r="CT799">
        <v>2</v>
      </c>
      <c r="CU799">
        <v>0</v>
      </c>
      <c r="CV799">
        <v>2</v>
      </c>
      <c r="CW799">
        <v>0</v>
      </c>
      <c r="CX799">
        <v>5</v>
      </c>
      <c r="CY799">
        <v>7</v>
      </c>
      <c r="CZ799" t="s">
        <v>131</v>
      </c>
      <c r="DA799">
        <v>116</v>
      </c>
      <c r="DB799">
        <v>0</v>
      </c>
      <c r="DC799" t="s">
        <v>132</v>
      </c>
      <c r="DD799" t="s">
        <v>133</v>
      </c>
      <c r="DG799">
        <v>14634106</v>
      </c>
      <c r="DI799">
        <v>0</v>
      </c>
      <c r="DJ799">
        <v>0</v>
      </c>
      <c r="DK799">
        <v>1</v>
      </c>
      <c r="DL799">
        <v>0</v>
      </c>
      <c r="DM799">
        <v>0</v>
      </c>
      <c r="DN799">
        <v>0</v>
      </c>
      <c r="DO799">
        <v>0</v>
      </c>
      <c r="DP799">
        <v>1</v>
      </c>
      <c r="DQ799">
        <v>0</v>
      </c>
      <c r="DR799">
        <v>0</v>
      </c>
      <c r="DS799">
        <v>0</v>
      </c>
    </row>
    <row r="800" spans="1:123" x14ac:dyDescent="0.25">
      <c r="A800" t="str">
        <f>"11/29/2023 20:25:11.586"</f>
        <v>11/29/2023 20:25:11.586</v>
      </c>
      <c r="C800" t="str">
        <f t="shared" si="100"/>
        <v>FFDF53C0</v>
      </c>
      <c r="D800" t="s">
        <v>164</v>
      </c>
      <c r="E800">
        <v>24</v>
      </c>
      <c r="F800">
        <v>2024</v>
      </c>
      <c r="G800" t="s">
        <v>165</v>
      </c>
      <c r="J800" t="s">
        <v>166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"20:25:11.250"</f>
        <v>20:25:11.250</v>
      </c>
      <c r="T800" t="str">
        <f>"20:25:10.850"</f>
        <v>20:25:10.850</v>
      </c>
      <c r="U800" t="str">
        <f t="shared" si="97"/>
        <v>AA0632</v>
      </c>
      <c r="V800">
        <v>0</v>
      </c>
      <c r="W800">
        <v>0</v>
      </c>
      <c r="X800">
        <v>2</v>
      </c>
      <c r="Y800">
        <v>0</v>
      </c>
      <c r="AA800">
        <v>0</v>
      </c>
      <c r="AB800">
        <v>9</v>
      </c>
      <c r="AC800">
        <v>3</v>
      </c>
      <c r="AD800">
        <v>0</v>
      </c>
      <c r="AE800">
        <v>10</v>
      </c>
      <c r="AF800" t="s">
        <v>126</v>
      </c>
      <c r="AG800">
        <v>0</v>
      </c>
      <c r="AH800">
        <v>0</v>
      </c>
      <c r="AI800">
        <v>2</v>
      </c>
      <c r="AJ800">
        <v>0</v>
      </c>
      <c r="AK800" t="s">
        <v>539</v>
      </c>
      <c r="AL800">
        <v>31.922235000000001</v>
      </c>
      <c r="AM800" t="s">
        <v>541</v>
      </c>
      <c r="AN800">
        <v>-101.012249</v>
      </c>
      <c r="AQ800" t="s">
        <v>129</v>
      </c>
      <c r="AR800">
        <v>92</v>
      </c>
      <c r="AS800">
        <v>-2</v>
      </c>
      <c r="AT800">
        <v>192</v>
      </c>
      <c r="BB800" t="str">
        <f t="shared" si="98"/>
        <v>1200</v>
      </c>
      <c r="BC800">
        <v>1</v>
      </c>
      <c r="BD800" t="str">
        <f t="shared" si="101"/>
        <v xml:space="preserve">N745MB  </v>
      </c>
      <c r="BE800">
        <v>1</v>
      </c>
      <c r="BG800">
        <v>0</v>
      </c>
      <c r="BH800">
        <v>0</v>
      </c>
      <c r="BI800">
        <v>0</v>
      </c>
      <c r="BL800" t="s">
        <v>130</v>
      </c>
      <c r="BM800">
        <v>1</v>
      </c>
      <c r="BN800">
        <v>0</v>
      </c>
      <c r="BO800">
        <v>0</v>
      </c>
      <c r="BP800">
        <v>0</v>
      </c>
      <c r="BT800">
        <v>0</v>
      </c>
      <c r="BU800">
        <v>0</v>
      </c>
      <c r="CE800" t="str">
        <f>"20:25:11.253"</f>
        <v>20:25:11.253</v>
      </c>
      <c r="CF800">
        <v>253487684</v>
      </c>
      <c r="CS800">
        <v>0</v>
      </c>
      <c r="CT800">
        <v>2</v>
      </c>
      <c r="CU800">
        <v>0</v>
      </c>
      <c r="CV800">
        <v>2</v>
      </c>
      <c r="CW800">
        <v>0</v>
      </c>
      <c r="CX800">
        <v>2</v>
      </c>
      <c r="CY800">
        <v>7</v>
      </c>
      <c r="CZ800" t="s">
        <v>131</v>
      </c>
      <c r="DA800">
        <v>483</v>
      </c>
      <c r="DB800">
        <v>1</v>
      </c>
      <c r="DC800" t="s">
        <v>169</v>
      </c>
      <c r="DD800" t="s">
        <v>170</v>
      </c>
      <c r="DG800">
        <v>7369886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1</v>
      </c>
      <c r="DQ800">
        <v>0</v>
      </c>
      <c r="DR800">
        <v>0</v>
      </c>
      <c r="DS800">
        <v>0</v>
      </c>
    </row>
    <row r="801" spans="1:123" x14ac:dyDescent="0.25">
      <c r="A801" t="str">
        <f>"11/29/2023 20:25:11.790"</f>
        <v>11/29/2023 20:25:11.790</v>
      </c>
      <c r="C801" t="str">
        <f t="shared" si="100"/>
        <v>FFDF53C0</v>
      </c>
      <c r="D801" t="s">
        <v>138</v>
      </c>
      <c r="E801">
        <v>3</v>
      </c>
      <c r="H801">
        <v>160</v>
      </c>
      <c r="I801" t="s">
        <v>124</v>
      </c>
      <c r="J801" t="s">
        <v>139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"20:25:11.250"</f>
        <v>20:25:11.250</v>
      </c>
      <c r="T801" t="str">
        <f>"20:25:10.850"</f>
        <v>20:25:10.850</v>
      </c>
      <c r="U801" t="str">
        <f t="shared" si="97"/>
        <v>AA0632</v>
      </c>
      <c r="V801">
        <v>0</v>
      </c>
      <c r="W801">
        <v>0</v>
      </c>
      <c r="X801">
        <v>2</v>
      </c>
      <c r="Y801">
        <v>0</v>
      </c>
      <c r="AA801">
        <v>0</v>
      </c>
      <c r="AB801">
        <v>9</v>
      </c>
      <c r="AC801">
        <v>3</v>
      </c>
      <c r="AD801">
        <v>0</v>
      </c>
      <c r="AE801">
        <v>10</v>
      </c>
      <c r="AF801" t="s">
        <v>126</v>
      </c>
      <c r="AG801">
        <v>0</v>
      </c>
      <c r="AH801">
        <v>0</v>
      </c>
      <c r="AI801">
        <v>2</v>
      </c>
      <c r="AJ801">
        <v>0</v>
      </c>
      <c r="AK801" t="s">
        <v>539</v>
      </c>
      <c r="AL801">
        <v>31.922235000000001</v>
      </c>
      <c r="AM801" t="s">
        <v>541</v>
      </c>
      <c r="AN801">
        <v>-101.012249</v>
      </c>
      <c r="AQ801" t="s">
        <v>129</v>
      </c>
      <c r="AR801">
        <v>92</v>
      </c>
      <c r="AS801">
        <v>-2</v>
      </c>
      <c r="AT801">
        <v>192</v>
      </c>
      <c r="BB801" t="str">
        <f t="shared" si="98"/>
        <v>1200</v>
      </c>
      <c r="BC801">
        <v>1</v>
      </c>
      <c r="BD801" t="str">
        <f t="shared" si="101"/>
        <v xml:space="preserve">N745MB  </v>
      </c>
      <c r="BE801">
        <v>1</v>
      </c>
      <c r="BG801">
        <v>0</v>
      </c>
      <c r="BH801">
        <v>0</v>
      </c>
      <c r="BI801">
        <v>0</v>
      </c>
      <c r="BL801" t="s">
        <v>130</v>
      </c>
      <c r="BM801">
        <v>1</v>
      </c>
      <c r="BN801">
        <v>0</v>
      </c>
      <c r="BO801">
        <v>0</v>
      </c>
      <c r="BP801">
        <v>0</v>
      </c>
      <c r="BT801">
        <v>0</v>
      </c>
      <c r="BU801">
        <v>0</v>
      </c>
      <c r="CE801" t="str">
        <f>"20:25:11.253"</f>
        <v>20:25:11.253</v>
      </c>
      <c r="CF801">
        <v>253487684</v>
      </c>
      <c r="CS801">
        <v>0</v>
      </c>
      <c r="CT801">
        <v>2</v>
      </c>
      <c r="CU801">
        <v>0</v>
      </c>
      <c r="CV801">
        <v>2</v>
      </c>
      <c r="CW801">
        <v>0</v>
      </c>
      <c r="CX801">
        <v>2</v>
      </c>
      <c r="CY801">
        <v>7</v>
      </c>
      <c r="CZ801" t="s">
        <v>131</v>
      </c>
      <c r="DA801">
        <v>483</v>
      </c>
      <c r="DB801">
        <v>1</v>
      </c>
      <c r="DC801" t="s">
        <v>169</v>
      </c>
      <c r="DD801" t="s">
        <v>170</v>
      </c>
      <c r="DG801">
        <v>7369886</v>
      </c>
      <c r="DI801">
        <v>0</v>
      </c>
      <c r="DJ801">
        <v>0</v>
      </c>
      <c r="DK801">
        <v>1</v>
      </c>
      <c r="DL801">
        <v>0</v>
      </c>
      <c r="DM801">
        <v>0</v>
      </c>
      <c r="DN801">
        <v>0</v>
      </c>
      <c r="DO801">
        <v>0</v>
      </c>
      <c r="DP801">
        <v>1</v>
      </c>
      <c r="DQ801">
        <v>0</v>
      </c>
      <c r="DR801">
        <v>0</v>
      </c>
      <c r="DS801">
        <v>0</v>
      </c>
    </row>
    <row r="802" spans="1:123" x14ac:dyDescent="0.25">
      <c r="A802" t="str">
        <f>"11/29/2023 20:25:11.790"</f>
        <v>11/29/2023 20:25:11.790</v>
      </c>
      <c r="C802" t="str">
        <f t="shared" si="100"/>
        <v>FFDF53C0</v>
      </c>
      <c r="D802" t="s">
        <v>123</v>
      </c>
      <c r="E802">
        <v>14</v>
      </c>
      <c r="F802">
        <v>1014</v>
      </c>
      <c r="G802" t="s">
        <v>124</v>
      </c>
      <c r="J802" t="s">
        <v>125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"20:25:11.250"</f>
        <v>20:25:11.250</v>
      </c>
      <c r="T802" t="str">
        <f>"20:25:10.850"</f>
        <v>20:25:10.850</v>
      </c>
      <c r="U802" t="str">
        <f t="shared" si="97"/>
        <v>AA0632</v>
      </c>
      <c r="V802">
        <v>0</v>
      </c>
      <c r="W802">
        <v>0</v>
      </c>
      <c r="X802">
        <v>2</v>
      </c>
      <c r="Y802">
        <v>0</v>
      </c>
      <c r="AA802">
        <v>0</v>
      </c>
      <c r="AB802">
        <v>9</v>
      </c>
      <c r="AC802">
        <v>3</v>
      </c>
      <c r="AD802">
        <v>0</v>
      </c>
      <c r="AE802">
        <v>10</v>
      </c>
      <c r="AF802" t="s">
        <v>126</v>
      </c>
      <c r="AG802">
        <v>0</v>
      </c>
      <c r="AH802">
        <v>0</v>
      </c>
      <c r="AI802">
        <v>2</v>
      </c>
      <c r="AJ802">
        <v>0</v>
      </c>
      <c r="AK802" t="s">
        <v>539</v>
      </c>
      <c r="AL802">
        <v>31.922235000000001</v>
      </c>
      <c r="AM802" t="s">
        <v>541</v>
      </c>
      <c r="AN802">
        <v>-101.012249</v>
      </c>
      <c r="AQ802" t="s">
        <v>129</v>
      </c>
      <c r="AR802">
        <v>92</v>
      </c>
      <c r="AS802">
        <v>-2</v>
      </c>
      <c r="AT802">
        <v>192</v>
      </c>
      <c r="BB802" t="str">
        <f t="shared" si="98"/>
        <v>1200</v>
      </c>
      <c r="BC802">
        <v>1</v>
      </c>
      <c r="BD802" t="str">
        <f t="shared" si="101"/>
        <v xml:space="preserve">N745MB  </v>
      </c>
      <c r="BE802">
        <v>1</v>
      </c>
      <c r="BG802">
        <v>0</v>
      </c>
      <c r="BH802">
        <v>0</v>
      </c>
      <c r="BI802">
        <v>0</v>
      </c>
      <c r="BL802" t="s">
        <v>130</v>
      </c>
      <c r="BM802">
        <v>1</v>
      </c>
      <c r="BN802">
        <v>0</v>
      </c>
      <c r="BO802">
        <v>0</v>
      </c>
      <c r="BP802">
        <v>0</v>
      </c>
      <c r="BT802">
        <v>0</v>
      </c>
      <c r="BU802">
        <v>0</v>
      </c>
      <c r="CE802" t="str">
        <f>"20:25:11.253"</f>
        <v>20:25:11.253</v>
      </c>
      <c r="CF802">
        <v>253487684</v>
      </c>
      <c r="CS802">
        <v>0</v>
      </c>
      <c r="CT802">
        <v>2</v>
      </c>
      <c r="CU802">
        <v>0</v>
      </c>
      <c r="CV802">
        <v>2</v>
      </c>
      <c r="CW802">
        <v>0</v>
      </c>
      <c r="CX802">
        <v>2</v>
      </c>
      <c r="CY802">
        <v>7</v>
      </c>
      <c r="CZ802" t="s">
        <v>131</v>
      </c>
      <c r="DA802">
        <v>483</v>
      </c>
      <c r="DB802">
        <v>1</v>
      </c>
      <c r="DC802" t="s">
        <v>169</v>
      </c>
      <c r="DD802" t="s">
        <v>170</v>
      </c>
      <c r="DG802">
        <v>7369886</v>
      </c>
      <c r="DI802">
        <v>0</v>
      </c>
      <c r="DJ802">
        <v>0</v>
      </c>
      <c r="DK802">
        <v>1</v>
      </c>
      <c r="DL802">
        <v>0</v>
      </c>
      <c r="DM802">
        <v>0</v>
      </c>
      <c r="DN802">
        <v>0</v>
      </c>
      <c r="DO802">
        <v>0</v>
      </c>
      <c r="DP802">
        <v>1</v>
      </c>
      <c r="DQ802">
        <v>0</v>
      </c>
      <c r="DR802">
        <v>0</v>
      </c>
      <c r="DS802">
        <v>0</v>
      </c>
    </row>
    <row r="803" spans="1:123" x14ac:dyDescent="0.25">
      <c r="A803" t="str">
        <f>"11/29/2023 20:25:12.383"</f>
        <v>11/29/2023 20:25:12.383</v>
      </c>
      <c r="C803" t="str">
        <f t="shared" si="100"/>
        <v>FFDF53C0</v>
      </c>
      <c r="D803" t="s">
        <v>138</v>
      </c>
      <c r="E803">
        <v>3</v>
      </c>
      <c r="H803">
        <v>160</v>
      </c>
      <c r="I803" t="s">
        <v>124</v>
      </c>
      <c r="J803" t="s">
        <v>139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"20:25:12.125"</f>
        <v>20:25:12.125</v>
      </c>
      <c r="T803" t="str">
        <f>"20:25:12.025"</f>
        <v>20:25:12.025</v>
      </c>
      <c r="U803" t="str">
        <f t="shared" si="97"/>
        <v>AA0632</v>
      </c>
      <c r="V803">
        <v>0</v>
      </c>
      <c r="W803">
        <v>0</v>
      </c>
      <c r="X803">
        <v>2</v>
      </c>
      <c r="Y803">
        <v>0</v>
      </c>
      <c r="AA803">
        <v>0</v>
      </c>
      <c r="AB803">
        <v>9</v>
      </c>
      <c r="AC803">
        <v>3</v>
      </c>
      <c r="AD803">
        <v>0</v>
      </c>
      <c r="AE803">
        <v>10</v>
      </c>
      <c r="AF803" t="s">
        <v>126</v>
      </c>
      <c r="AG803">
        <v>0</v>
      </c>
      <c r="AH803">
        <v>0</v>
      </c>
      <c r="AI803">
        <v>2</v>
      </c>
      <c r="AJ803">
        <v>0</v>
      </c>
      <c r="AK803" t="s">
        <v>537</v>
      </c>
      <c r="AL803">
        <v>31.922256999999998</v>
      </c>
      <c r="AM803" t="s">
        <v>542</v>
      </c>
      <c r="AN803">
        <v>-101.011841</v>
      </c>
      <c r="AQ803" t="s">
        <v>129</v>
      </c>
      <c r="AR803">
        <v>92</v>
      </c>
      <c r="AS803">
        <v>-2</v>
      </c>
      <c r="AT803">
        <v>192</v>
      </c>
      <c r="BB803" t="str">
        <f t="shared" si="98"/>
        <v>1200</v>
      </c>
      <c r="BC803">
        <v>1</v>
      </c>
      <c r="BD803" t="str">
        <f t="shared" si="101"/>
        <v xml:space="preserve">N745MB  </v>
      </c>
      <c r="BE803">
        <v>1</v>
      </c>
      <c r="BG803">
        <v>0</v>
      </c>
      <c r="BH803">
        <v>0</v>
      </c>
      <c r="BI803">
        <v>0</v>
      </c>
      <c r="BL803" t="s">
        <v>130</v>
      </c>
      <c r="BM803">
        <v>1</v>
      </c>
      <c r="BN803">
        <v>0</v>
      </c>
      <c r="BO803">
        <v>0</v>
      </c>
      <c r="BP803">
        <v>0</v>
      </c>
      <c r="BT803">
        <v>0</v>
      </c>
      <c r="BU803">
        <v>0</v>
      </c>
      <c r="CE803" t="str">
        <f>"20:25:12.131"</f>
        <v>20:25:12.131</v>
      </c>
      <c r="CF803">
        <v>131426330</v>
      </c>
      <c r="CS803">
        <v>0</v>
      </c>
      <c r="CT803">
        <v>2</v>
      </c>
      <c r="CU803">
        <v>0</v>
      </c>
      <c r="CV803">
        <v>2</v>
      </c>
      <c r="CW803">
        <v>0</v>
      </c>
      <c r="CX803">
        <v>4</v>
      </c>
      <c r="CY803">
        <v>7</v>
      </c>
      <c r="CZ803" t="s">
        <v>131</v>
      </c>
      <c r="DA803">
        <v>483</v>
      </c>
      <c r="DB803">
        <v>1</v>
      </c>
      <c r="DC803" t="s">
        <v>169</v>
      </c>
      <c r="DD803" t="s">
        <v>170</v>
      </c>
      <c r="DG803">
        <v>7370001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1</v>
      </c>
      <c r="DQ803">
        <v>0</v>
      </c>
      <c r="DR803">
        <v>0</v>
      </c>
      <c r="DS803">
        <v>0</v>
      </c>
    </row>
    <row r="804" spans="1:123" x14ac:dyDescent="0.25">
      <c r="A804" t="str">
        <f>"11/29/2023 20:25:12.383"</f>
        <v>11/29/2023 20:25:12.383</v>
      </c>
      <c r="C804" t="str">
        <f t="shared" si="100"/>
        <v>FFDF53C0</v>
      </c>
      <c r="D804" t="s">
        <v>123</v>
      </c>
      <c r="E804">
        <v>14</v>
      </c>
      <c r="F804">
        <v>1014</v>
      </c>
      <c r="G804" t="s">
        <v>124</v>
      </c>
      <c r="J804" t="s">
        <v>125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"20:25:12.125"</f>
        <v>20:25:12.125</v>
      </c>
      <c r="T804" t="str">
        <f>"20:25:12.025"</f>
        <v>20:25:12.025</v>
      </c>
      <c r="U804" t="str">
        <f t="shared" si="97"/>
        <v>AA0632</v>
      </c>
      <c r="V804">
        <v>0</v>
      </c>
      <c r="W804">
        <v>0</v>
      </c>
      <c r="X804">
        <v>2</v>
      </c>
      <c r="Y804">
        <v>0</v>
      </c>
      <c r="AA804">
        <v>0</v>
      </c>
      <c r="AB804">
        <v>9</v>
      </c>
      <c r="AC804">
        <v>3</v>
      </c>
      <c r="AD804">
        <v>0</v>
      </c>
      <c r="AE804">
        <v>10</v>
      </c>
      <c r="AF804" t="s">
        <v>126</v>
      </c>
      <c r="AG804">
        <v>0</v>
      </c>
      <c r="AH804">
        <v>0</v>
      </c>
      <c r="AI804">
        <v>2</v>
      </c>
      <c r="AJ804">
        <v>0</v>
      </c>
      <c r="AK804" t="s">
        <v>537</v>
      </c>
      <c r="AL804">
        <v>31.922256999999998</v>
      </c>
      <c r="AM804" t="s">
        <v>542</v>
      </c>
      <c r="AN804">
        <v>-101.011841</v>
      </c>
      <c r="AQ804" t="s">
        <v>129</v>
      </c>
      <c r="AR804">
        <v>92</v>
      </c>
      <c r="AS804">
        <v>-2</v>
      </c>
      <c r="AT804">
        <v>192</v>
      </c>
      <c r="BB804" t="str">
        <f t="shared" si="98"/>
        <v>1200</v>
      </c>
      <c r="BC804">
        <v>1</v>
      </c>
      <c r="BD804" t="str">
        <f t="shared" si="101"/>
        <v xml:space="preserve">N745MB  </v>
      </c>
      <c r="BE804">
        <v>1</v>
      </c>
      <c r="BG804">
        <v>0</v>
      </c>
      <c r="BH804">
        <v>0</v>
      </c>
      <c r="BI804">
        <v>0</v>
      </c>
      <c r="BL804" t="s">
        <v>130</v>
      </c>
      <c r="BM804">
        <v>1</v>
      </c>
      <c r="BN804">
        <v>0</v>
      </c>
      <c r="BO804">
        <v>0</v>
      </c>
      <c r="BP804">
        <v>0</v>
      </c>
      <c r="BT804">
        <v>0</v>
      </c>
      <c r="BU804">
        <v>0</v>
      </c>
      <c r="CE804" t="str">
        <f>"20:25:12.131"</f>
        <v>20:25:12.131</v>
      </c>
      <c r="CF804">
        <v>131426330</v>
      </c>
      <c r="CS804">
        <v>0</v>
      </c>
      <c r="CT804">
        <v>2</v>
      </c>
      <c r="CU804">
        <v>0</v>
      </c>
      <c r="CV804">
        <v>2</v>
      </c>
      <c r="CW804">
        <v>0</v>
      </c>
      <c r="CX804">
        <v>4</v>
      </c>
      <c r="CY804">
        <v>7</v>
      </c>
      <c r="CZ804" t="s">
        <v>131</v>
      </c>
      <c r="DA804">
        <v>483</v>
      </c>
      <c r="DB804">
        <v>1</v>
      </c>
      <c r="DC804" t="s">
        <v>169</v>
      </c>
      <c r="DD804" t="s">
        <v>170</v>
      </c>
      <c r="DG804">
        <v>7370001</v>
      </c>
      <c r="DI804">
        <v>0</v>
      </c>
      <c r="DJ804">
        <v>0</v>
      </c>
      <c r="DK804">
        <v>1</v>
      </c>
      <c r="DL804">
        <v>0</v>
      </c>
      <c r="DM804">
        <v>0</v>
      </c>
      <c r="DN804">
        <v>0</v>
      </c>
      <c r="DO804">
        <v>0</v>
      </c>
      <c r="DP804">
        <v>1</v>
      </c>
      <c r="DQ804">
        <v>0</v>
      </c>
      <c r="DR804">
        <v>0</v>
      </c>
      <c r="DS804">
        <v>0</v>
      </c>
    </row>
    <row r="805" spans="1:123" x14ac:dyDescent="0.25">
      <c r="A805" t="str">
        <f>"11/29/2023 20:25:12.383"</f>
        <v>11/29/2023 20:25:12.383</v>
      </c>
      <c r="C805" t="str">
        <f t="shared" si="100"/>
        <v>FFDF53C0</v>
      </c>
      <c r="D805" t="s">
        <v>164</v>
      </c>
      <c r="E805">
        <v>24</v>
      </c>
      <c r="F805">
        <v>2024</v>
      </c>
      <c r="G805" t="s">
        <v>165</v>
      </c>
      <c r="J805" t="s">
        <v>166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>"20:25:12.125"</f>
        <v>20:25:12.125</v>
      </c>
      <c r="T805" t="str">
        <f>"20:25:12.025"</f>
        <v>20:25:12.025</v>
      </c>
      <c r="U805" t="str">
        <f t="shared" si="97"/>
        <v>AA0632</v>
      </c>
      <c r="V805">
        <v>0</v>
      </c>
      <c r="W805">
        <v>0</v>
      </c>
      <c r="X805">
        <v>2</v>
      </c>
      <c r="Y805">
        <v>0</v>
      </c>
      <c r="AA805">
        <v>0</v>
      </c>
      <c r="AB805">
        <v>9</v>
      </c>
      <c r="AC805">
        <v>3</v>
      </c>
      <c r="AD805">
        <v>0</v>
      </c>
      <c r="AE805">
        <v>10</v>
      </c>
      <c r="AF805" t="s">
        <v>126</v>
      </c>
      <c r="AG805">
        <v>0</v>
      </c>
      <c r="AH805">
        <v>0</v>
      </c>
      <c r="AI805">
        <v>2</v>
      </c>
      <c r="AJ805">
        <v>0</v>
      </c>
      <c r="AK805" t="s">
        <v>537</v>
      </c>
      <c r="AL805">
        <v>31.922256999999998</v>
      </c>
      <c r="AM805" t="s">
        <v>542</v>
      </c>
      <c r="AN805">
        <v>-101.011841</v>
      </c>
      <c r="AQ805" t="s">
        <v>129</v>
      </c>
      <c r="AR805">
        <v>92</v>
      </c>
      <c r="AS805">
        <v>-2</v>
      </c>
      <c r="AT805">
        <v>192</v>
      </c>
      <c r="BB805" t="str">
        <f t="shared" si="98"/>
        <v>1200</v>
      </c>
      <c r="BC805">
        <v>1</v>
      </c>
      <c r="BD805" t="str">
        <f t="shared" si="101"/>
        <v xml:space="preserve">N745MB  </v>
      </c>
      <c r="BE805">
        <v>1</v>
      </c>
      <c r="BG805">
        <v>0</v>
      </c>
      <c r="BH805">
        <v>0</v>
      </c>
      <c r="BI805">
        <v>0</v>
      </c>
      <c r="BL805" t="s">
        <v>130</v>
      </c>
      <c r="BM805">
        <v>1</v>
      </c>
      <c r="BN805">
        <v>0</v>
      </c>
      <c r="BO805">
        <v>0</v>
      </c>
      <c r="BP805">
        <v>0</v>
      </c>
      <c r="BT805">
        <v>0</v>
      </c>
      <c r="BU805">
        <v>0</v>
      </c>
      <c r="CE805" t="str">
        <f>"20:25:12.131"</f>
        <v>20:25:12.131</v>
      </c>
      <c r="CF805">
        <v>131426330</v>
      </c>
      <c r="CS805">
        <v>0</v>
      </c>
      <c r="CT805">
        <v>2</v>
      </c>
      <c r="CU805">
        <v>0</v>
      </c>
      <c r="CV805">
        <v>2</v>
      </c>
      <c r="CW805">
        <v>0</v>
      </c>
      <c r="CX805">
        <v>4</v>
      </c>
      <c r="CY805">
        <v>7</v>
      </c>
      <c r="CZ805" t="s">
        <v>131</v>
      </c>
      <c r="DA805">
        <v>483</v>
      </c>
      <c r="DB805">
        <v>1</v>
      </c>
      <c r="DC805" t="s">
        <v>169</v>
      </c>
      <c r="DD805" t="s">
        <v>170</v>
      </c>
      <c r="DG805">
        <v>7370001</v>
      </c>
      <c r="DI805">
        <v>0</v>
      </c>
      <c r="DJ805">
        <v>0</v>
      </c>
      <c r="DK805">
        <v>1</v>
      </c>
      <c r="DL805">
        <v>0</v>
      </c>
      <c r="DM805">
        <v>0</v>
      </c>
      <c r="DN805">
        <v>0</v>
      </c>
      <c r="DO805">
        <v>0</v>
      </c>
      <c r="DP805">
        <v>1</v>
      </c>
      <c r="DQ805">
        <v>0</v>
      </c>
      <c r="DR805">
        <v>0</v>
      </c>
      <c r="DS805">
        <v>0</v>
      </c>
    </row>
    <row r="806" spans="1:123" x14ac:dyDescent="0.25">
      <c r="A806" t="str">
        <f>"11/29/2023 20:25:13.446"</f>
        <v>11/29/2023 20:25:13.446</v>
      </c>
      <c r="C806" t="str">
        <f t="shared" si="100"/>
        <v>FFDF53C0</v>
      </c>
      <c r="D806" t="s">
        <v>123</v>
      </c>
      <c r="E806">
        <v>14</v>
      </c>
      <c r="F806">
        <v>1014</v>
      </c>
      <c r="G806" t="s">
        <v>124</v>
      </c>
      <c r="J806" t="s">
        <v>125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"20:25:13.125"</f>
        <v>20:25:13.125</v>
      </c>
      <c r="T806" t="str">
        <f>"20:25:13.025"</f>
        <v>20:25:13.025</v>
      </c>
      <c r="U806" t="str">
        <f t="shared" si="97"/>
        <v>AA0632</v>
      </c>
      <c r="V806">
        <v>0</v>
      </c>
      <c r="W806">
        <v>0</v>
      </c>
      <c r="X806">
        <v>2</v>
      </c>
      <c r="Y806">
        <v>0</v>
      </c>
      <c r="AA806">
        <v>0</v>
      </c>
      <c r="AB806">
        <v>9</v>
      </c>
      <c r="AC806">
        <v>3</v>
      </c>
      <c r="AD806">
        <v>0</v>
      </c>
      <c r="AE806">
        <v>10</v>
      </c>
      <c r="AF806" t="s">
        <v>126</v>
      </c>
      <c r="AG806">
        <v>0</v>
      </c>
      <c r="AH806">
        <v>0</v>
      </c>
      <c r="AI806">
        <v>2</v>
      </c>
      <c r="AJ806">
        <v>0</v>
      </c>
      <c r="AK806" t="s">
        <v>543</v>
      </c>
      <c r="AL806">
        <v>31.922214</v>
      </c>
      <c r="AM806" t="s">
        <v>544</v>
      </c>
      <c r="AN806">
        <v>-101.011326</v>
      </c>
      <c r="AQ806" t="s">
        <v>129</v>
      </c>
      <c r="AR806">
        <v>92</v>
      </c>
      <c r="AS806">
        <v>-2</v>
      </c>
      <c r="AT806">
        <v>128</v>
      </c>
      <c r="BB806" t="str">
        <f t="shared" si="98"/>
        <v>1200</v>
      </c>
      <c r="BC806">
        <v>1</v>
      </c>
      <c r="BD806" t="str">
        <f t="shared" si="101"/>
        <v xml:space="preserve">N745MB  </v>
      </c>
      <c r="BE806">
        <v>1</v>
      </c>
      <c r="BG806">
        <v>0</v>
      </c>
      <c r="BH806">
        <v>0</v>
      </c>
      <c r="BI806">
        <v>0</v>
      </c>
      <c r="BL806" t="s">
        <v>130</v>
      </c>
      <c r="BM806">
        <v>1</v>
      </c>
      <c r="BN806">
        <v>0</v>
      </c>
      <c r="BO806">
        <v>0</v>
      </c>
      <c r="BP806">
        <v>0</v>
      </c>
      <c r="BT806">
        <v>0</v>
      </c>
      <c r="BU806">
        <v>0</v>
      </c>
      <c r="CE806" t="str">
        <f>"20:25:13.127"</f>
        <v>20:25:13.127</v>
      </c>
      <c r="CF806">
        <v>127349704</v>
      </c>
      <c r="CS806">
        <v>0</v>
      </c>
      <c r="CT806">
        <v>2</v>
      </c>
      <c r="CU806">
        <v>0</v>
      </c>
      <c r="CV806">
        <v>2</v>
      </c>
      <c r="CW806">
        <v>0</v>
      </c>
      <c r="CX806">
        <v>5</v>
      </c>
      <c r="CY806">
        <v>7</v>
      </c>
      <c r="CZ806" t="s">
        <v>131</v>
      </c>
      <c r="DA806">
        <v>116</v>
      </c>
      <c r="DB806">
        <v>0</v>
      </c>
      <c r="DC806" t="s">
        <v>132</v>
      </c>
      <c r="DD806" t="s">
        <v>133</v>
      </c>
      <c r="DG806">
        <v>14636478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1</v>
      </c>
      <c r="DQ806">
        <v>0</v>
      </c>
      <c r="DR806">
        <v>0</v>
      </c>
      <c r="DS806">
        <v>0</v>
      </c>
    </row>
    <row r="807" spans="1:123" x14ac:dyDescent="0.25">
      <c r="A807" t="str">
        <f>"11/29/2023 20:25:13.540"</f>
        <v>11/29/2023 20:25:13.540</v>
      </c>
      <c r="C807" t="str">
        <f t="shared" si="100"/>
        <v>FFDF53C0</v>
      </c>
      <c r="D807" t="s">
        <v>123</v>
      </c>
      <c r="E807">
        <v>1</v>
      </c>
      <c r="F807">
        <v>1001</v>
      </c>
      <c r="G807" t="s">
        <v>134</v>
      </c>
      <c r="J807" t="s">
        <v>125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"20:25:13.125"</f>
        <v>20:25:13.125</v>
      </c>
      <c r="T807" t="str">
        <f>"20:25:13.025"</f>
        <v>20:25:13.025</v>
      </c>
      <c r="U807" t="str">
        <f t="shared" si="97"/>
        <v>AA0632</v>
      </c>
      <c r="V807">
        <v>0</v>
      </c>
      <c r="W807">
        <v>0</v>
      </c>
      <c r="X807">
        <v>2</v>
      </c>
      <c r="Y807">
        <v>0</v>
      </c>
      <c r="AA807">
        <v>0</v>
      </c>
      <c r="AB807">
        <v>9</v>
      </c>
      <c r="AC807">
        <v>3</v>
      </c>
      <c r="AD807">
        <v>0</v>
      </c>
      <c r="AE807">
        <v>10</v>
      </c>
      <c r="AF807" t="s">
        <v>126</v>
      </c>
      <c r="AG807">
        <v>0</v>
      </c>
      <c r="AH807">
        <v>0</v>
      </c>
      <c r="AI807">
        <v>2</v>
      </c>
      <c r="AJ807">
        <v>0</v>
      </c>
      <c r="AK807" t="s">
        <v>543</v>
      </c>
      <c r="AL807">
        <v>31.922214</v>
      </c>
      <c r="AM807" t="s">
        <v>544</v>
      </c>
      <c r="AN807">
        <v>-101.011326</v>
      </c>
      <c r="AQ807" t="s">
        <v>129</v>
      </c>
      <c r="AR807">
        <v>92</v>
      </c>
      <c r="AS807">
        <v>-2</v>
      </c>
      <c r="AT807">
        <v>128</v>
      </c>
      <c r="BB807" t="str">
        <f t="shared" si="98"/>
        <v>1200</v>
      </c>
      <c r="BC807">
        <v>1</v>
      </c>
      <c r="BD807" t="str">
        <f t="shared" si="101"/>
        <v xml:space="preserve">N745MB  </v>
      </c>
      <c r="BE807">
        <v>1</v>
      </c>
      <c r="BG807">
        <v>0</v>
      </c>
      <c r="BH807">
        <v>0</v>
      </c>
      <c r="BI807">
        <v>0</v>
      </c>
      <c r="BL807" t="s">
        <v>130</v>
      </c>
      <c r="BM807">
        <v>1</v>
      </c>
      <c r="BN807">
        <v>0</v>
      </c>
      <c r="BO807">
        <v>0</v>
      </c>
      <c r="BP807">
        <v>0</v>
      </c>
      <c r="BT807">
        <v>0</v>
      </c>
      <c r="BU807">
        <v>0</v>
      </c>
      <c r="CE807" t="str">
        <f>"20:25:13.127"</f>
        <v>20:25:13.127</v>
      </c>
      <c r="CF807">
        <v>127349704</v>
      </c>
      <c r="CS807">
        <v>0</v>
      </c>
      <c r="CT807">
        <v>2</v>
      </c>
      <c r="CU807">
        <v>0</v>
      </c>
      <c r="CV807">
        <v>2</v>
      </c>
      <c r="CW807">
        <v>0</v>
      </c>
      <c r="CX807">
        <v>5</v>
      </c>
      <c r="CY807">
        <v>7</v>
      </c>
      <c r="CZ807" t="s">
        <v>131</v>
      </c>
      <c r="DA807">
        <v>116</v>
      </c>
      <c r="DB807">
        <v>0</v>
      </c>
      <c r="DC807" t="s">
        <v>132</v>
      </c>
      <c r="DD807" t="s">
        <v>133</v>
      </c>
      <c r="DG807">
        <v>14636478</v>
      </c>
      <c r="DI807">
        <v>0</v>
      </c>
      <c r="DJ807">
        <v>0</v>
      </c>
      <c r="DK807">
        <v>1</v>
      </c>
      <c r="DL807">
        <v>0</v>
      </c>
      <c r="DM807">
        <v>0</v>
      </c>
      <c r="DN807">
        <v>0</v>
      </c>
      <c r="DO807">
        <v>0</v>
      </c>
      <c r="DP807">
        <v>1</v>
      </c>
      <c r="DQ807">
        <v>0</v>
      </c>
      <c r="DR807">
        <v>0</v>
      </c>
      <c r="DS807">
        <v>0</v>
      </c>
    </row>
    <row r="808" spans="1:123" x14ac:dyDescent="0.25">
      <c r="A808" t="str">
        <f>"11/29/2023 20:25:13.540"</f>
        <v>11/29/2023 20:25:13.540</v>
      </c>
      <c r="C808" t="str">
        <f t="shared" si="100"/>
        <v>FFDF53C0</v>
      </c>
      <c r="D808" t="s">
        <v>135</v>
      </c>
      <c r="E808">
        <v>31</v>
      </c>
      <c r="H808">
        <v>285</v>
      </c>
      <c r="I808" t="s">
        <v>136</v>
      </c>
      <c r="J808" t="s">
        <v>137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"20:25:13.125"</f>
        <v>20:25:13.125</v>
      </c>
      <c r="T808" t="str">
        <f>"20:25:13.025"</f>
        <v>20:25:13.025</v>
      </c>
      <c r="U808" t="str">
        <f t="shared" si="97"/>
        <v>AA0632</v>
      </c>
      <c r="V808">
        <v>0</v>
      </c>
      <c r="W808">
        <v>0</v>
      </c>
      <c r="X808">
        <v>2</v>
      </c>
      <c r="Y808">
        <v>0</v>
      </c>
      <c r="AA808">
        <v>0</v>
      </c>
      <c r="AB808">
        <v>9</v>
      </c>
      <c r="AC808">
        <v>3</v>
      </c>
      <c r="AD808">
        <v>0</v>
      </c>
      <c r="AE808">
        <v>10</v>
      </c>
      <c r="AF808" t="s">
        <v>126</v>
      </c>
      <c r="AG808">
        <v>0</v>
      </c>
      <c r="AH808">
        <v>0</v>
      </c>
      <c r="AI808">
        <v>2</v>
      </c>
      <c r="AJ808">
        <v>0</v>
      </c>
      <c r="AK808" t="s">
        <v>543</v>
      </c>
      <c r="AL808">
        <v>31.922214</v>
      </c>
      <c r="AM808" t="s">
        <v>544</v>
      </c>
      <c r="AN808">
        <v>-101.011326</v>
      </c>
      <c r="AQ808" t="s">
        <v>129</v>
      </c>
      <c r="AR808">
        <v>92</v>
      </c>
      <c r="AS808">
        <v>-2</v>
      </c>
      <c r="AT808">
        <v>128</v>
      </c>
      <c r="BB808" t="str">
        <f t="shared" si="98"/>
        <v>1200</v>
      </c>
      <c r="BC808">
        <v>1</v>
      </c>
      <c r="BD808" t="str">
        <f t="shared" si="101"/>
        <v xml:space="preserve">N745MB  </v>
      </c>
      <c r="BE808">
        <v>1</v>
      </c>
      <c r="BG808">
        <v>0</v>
      </c>
      <c r="BH808">
        <v>0</v>
      </c>
      <c r="BI808">
        <v>0</v>
      </c>
      <c r="BL808" t="s">
        <v>130</v>
      </c>
      <c r="BM808">
        <v>1</v>
      </c>
      <c r="BN808">
        <v>0</v>
      </c>
      <c r="BO808">
        <v>0</v>
      </c>
      <c r="BP808">
        <v>0</v>
      </c>
      <c r="BT808">
        <v>0</v>
      </c>
      <c r="BU808">
        <v>0</v>
      </c>
      <c r="CE808" t="str">
        <f>"20:25:13.127"</f>
        <v>20:25:13.127</v>
      </c>
      <c r="CF808">
        <v>127349704</v>
      </c>
      <c r="CS808">
        <v>0</v>
      </c>
      <c r="CT808">
        <v>2</v>
      </c>
      <c r="CU808">
        <v>0</v>
      </c>
      <c r="CV808">
        <v>2</v>
      </c>
      <c r="CW808">
        <v>0</v>
      </c>
      <c r="CX808">
        <v>5</v>
      </c>
      <c r="CY808">
        <v>7</v>
      </c>
      <c r="CZ808" t="s">
        <v>131</v>
      </c>
      <c r="DA808">
        <v>116</v>
      </c>
      <c r="DB808">
        <v>0</v>
      </c>
      <c r="DC808" t="s">
        <v>132</v>
      </c>
      <c r="DD808" t="s">
        <v>133</v>
      </c>
      <c r="DG808">
        <v>14636478</v>
      </c>
      <c r="DI808">
        <v>0</v>
      </c>
      <c r="DJ808">
        <v>0</v>
      </c>
      <c r="DK808">
        <v>1</v>
      </c>
      <c r="DL808">
        <v>0</v>
      </c>
      <c r="DM808">
        <v>0</v>
      </c>
      <c r="DN808">
        <v>0</v>
      </c>
      <c r="DO808">
        <v>0</v>
      </c>
      <c r="DP808">
        <v>1</v>
      </c>
      <c r="DQ808">
        <v>0</v>
      </c>
      <c r="DR808">
        <v>0</v>
      </c>
      <c r="DS808">
        <v>0</v>
      </c>
    </row>
    <row r="809" spans="1:123" x14ac:dyDescent="0.25">
      <c r="A809" t="str">
        <f>"11/29/2023 20:25:13.586"</f>
        <v>11/29/2023 20:25:13.586</v>
      </c>
      <c r="C809" t="str">
        <f t="shared" si="100"/>
        <v>FFDF53C0</v>
      </c>
      <c r="D809" t="s">
        <v>138</v>
      </c>
      <c r="E809">
        <v>3</v>
      </c>
      <c r="H809">
        <v>160</v>
      </c>
      <c r="I809" t="s">
        <v>124</v>
      </c>
      <c r="J809" t="s">
        <v>139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"20:25:13.125"</f>
        <v>20:25:13.125</v>
      </c>
      <c r="T809" t="str">
        <f>"20:25:13.025"</f>
        <v>20:25:13.025</v>
      </c>
      <c r="U809" t="str">
        <f t="shared" si="97"/>
        <v>AA0632</v>
      </c>
      <c r="V809">
        <v>0</v>
      </c>
      <c r="W809">
        <v>0</v>
      </c>
      <c r="X809">
        <v>2</v>
      </c>
      <c r="Y809">
        <v>0</v>
      </c>
      <c r="AA809">
        <v>0</v>
      </c>
      <c r="AB809">
        <v>9</v>
      </c>
      <c r="AC809">
        <v>3</v>
      </c>
      <c r="AD809">
        <v>0</v>
      </c>
      <c r="AE809">
        <v>10</v>
      </c>
      <c r="AF809" t="s">
        <v>126</v>
      </c>
      <c r="AG809">
        <v>0</v>
      </c>
      <c r="AH809">
        <v>0</v>
      </c>
      <c r="AI809">
        <v>2</v>
      </c>
      <c r="AJ809">
        <v>0</v>
      </c>
      <c r="AK809" t="s">
        <v>543</v>
      </c>
      <c r="AL809">
        <v>31.922214</v>
      </c>
      <c r="AM809" t="s">
        <v>544</v>
      </c>
      <c r="AN809">
        <v>-101.011326</v>
      </c>
      <c r="AQ809" t="s">
        <v>129</v>
      </c>
      <c r="AR809">
        <v>92</v>
      </c>
      <c r="AS809">
        <v>-2</v>
      </c>
      <c r="AT809">
        <v>128</v>
      </c>
      <c r="BB809" t="str">
        <f t="shared" si="98"/>
        <v>1200</v>
      </c>
      <c r="BC809">
        <v>1</v>
      </c>
      <c r="BD809" t="str">
        <f t="shared" si="101"/>
        <v xml:space="preserve">N745MB  </v>
      </c>
      <c r="BE809">
        <v>1</v>
      </c>
      <c r="BG809">
        <v>0</v>
      </c>
      <c r="BH809">
        <v>0</v>
      </c>
      <c r="BI809">
        <v>0</v>
      </c>
      <c r="BL809" t="s">
        <v>130</v>
      </c>
      <c r="BM809">
        <v>1</v>
      </c>
      <c r="BN809">
        <v>0</v>
      </c>
      <c r="BO809">
        <v>0</v>
      </c>
      <c r="BP809">
        <v>0</v>
      </c>
      <c r="BT809">
        <v>0</v>
      </c>
      <c r="BU809">
        <v>0</v>
      </c>
      <c r="CE809" t="str">
        <f>"20:25:13.127"</f>
        <v>20:25:13.127</v>
      </c>
      <c r="CF809">
        <v>127349704</v>
      </c>
      <c r="CS809">
        <v>0</v>
      </c>
      <c r="CT809">
        <v>2</v>
      </c>
      <c r="CU809">
        <v>0</v>
      </c>
      <c r="CV809">
        <v>2</v>
      </c>
      <c r="CW809">
        <v>0</v>
      </c>
      <c r="CX809">
        <v>5</v>
      </c>
      <c r="CY809">
        <v>7</v>
      </c>
      <c r="CZ809" t="s">
        <v>131</v>
      </c>
      <c r="DA809">
        <v>116</v>
      </c>
      <c r="DB809">
        <v>0</v>
      </c>
      <c r="DC809" t="s">
        <v>132</v>
      </c>
      <c r="DD809" t="s">
        <v>133</v>
      </c>
      <c r="DG809">
        <v>14636478</v>
      </c>
      <c r="DI809">
        <v>0</v>
      </c>
      <c r="DJ809">
        <v>0</v>
      </c>
      <c r="DK809">
        <v>1</v>
      </c>
      <c r="DL809">
        <v>0</v>
      </c>
      <c r="DM809">
        <v>0</v>
      </c>
      <c r="DN809">
        <v>0</v>
      </c>
      <c r="DO809">
        <v>0</v>
      </c>
      <c r="DP809">
        <v>1</v>
      </c>
      <c r="DQ809">
        <v>0</v>
      </c>
      <c r="DR809">
        <v>0</v>
      </c>
      <c r="DS809">
        <v>0</v>
      </c>
    </row>
    <row r="810" spans="1:123" x14ac:dyDescent="0.25">
      <c r="A810" t="str">
        <f>"11/29/2023 20:25:14.383"</f>
        <v>11/29/2023 20:25:14.383</v>
      </c>
      <c r="C810" t="str">
        <f t="shared" si="100"/>
        <v>FFDF53C0</v>
      </c>
      <c r="D810" t="s">
        <v>138</v>
      </c>
      <c r="E810">
        <v>3</v>
      </c>
      <c r="H810">
        <v>160</v>
      </c>
      <c r="I810" t="s">
        <v>124</v>
      </c>
      <c r="J810" t="s">
        <v>139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"20:25:14.102"</f>
        <v>20:25:14.102</v>
      </c>
      <c r="T810" t="str">
        <f>"20:25:13.902"</f>
        <v>20:25:13.902</v>
      </c>
      <c r="U810" t="str">
        <f t="shared" si="97"/>
        <v>AA0632</v>
      </c>
      <c r="V810">
        <v>0</v>
      </c>
      <c r="W810">
        <v>0</v>
      </c>
      <c r="X810">
        <v>2</v>
      </c>
      <c r="Y810">
        <v>0</v>
      </c>
      <c r="AA810">
        <v>0</v>
      </c>
      <c r="AB810">
        <v>9</v>
      </c>
      <c r="AC810">
        <v>3</v>
      </c>
      <c r="AD810">
        <v>0</v>
      </c>
      <c r="AE810">
        <v>10</v>
      </c>
      <c r="AF810" t="s">
        <v>126</v>
      </c>
      <c r="AG810">
        <v>0</v>
      </c>
      <c r="AH810">
        <v>0</v>
      </c>
      <c r="AI810">
        <v>2</v>
      </c>
      <c r="AJ810">
        <v>0</v>
      </c>
      <c r="AK810" t="s">
        <v>543</v>
      </c>
      <c r="AL810">
        <v>31.922214</v>
      </c>
      <c r="AM810" t="s">
        <v>545</v>
      </c>
      <c r="AN810">
        <v>-101.01083300000001</v>
      </c>
      <c r="AQ810" t="s">
        <v>129</v>
      </c>
      <c r="AR810">
        <v>93</v>
      </c>
      <c r="AS810">
        <v>-1</v>
      </c>
      <c r="AT810">
        <v>64</v>
      </c>
      <c r="BB810" t="str">
        <f t="shared" si="98"/>
        <v>1200</v>
      </c>
      <c r="BC810">
        <v>1</v>
      </c>
      <c r="BD810" t="str">
        <f t="shared" si="101"/>
        <v xml:space="preserve">N745MB  </v>
      </c>
      <c r="BE810">
        <v>1</v>
      </c>
      <c r="BG810">
        <v>0</v>
      </c>
      <c r="BH810">
        <v>0</v>
      </c>
      <c r="BI810">
        <v>0</v>
      </c>
      <c r="BL810" t="s">
        <v>130</v>
      </c>
      <c r="BM810">
        <v>1</v>
      </c>
      <c r="BN810">
        <v>0</v>
      </c>
      <c r="BO810">
        <v>0</v>
      </c>
      <c r="BP810">
        <v>0</v>
      </c>
      <c r="BT810">
        <v>0</v>
      </c>
      <c r="BU810">
        <v>0</v>
      </c>
      <c r="CE810" t="str">
        <f>"20:25:14.103"</f>
        <v>20:25:14.103</v>
      </c>
      <c r="CF810">
        <v>103293890</v>
      </c>
      <c r="CS810">
        <v>0</v>
      </c>
      <c r="CT810">
        <v>2</v>
      </c>
      <c r="CU810">
        <v>0</v>
      </c>
      <c r="CV810">
        <v>2</v>
      </c>
      <c r="CW810">
        <v>0</v>
      </c>
      <c r="CX810">
        <v>2</v>
      </c>
      <c r="CY810">
        <v>7</v>
      </c>
      <c r="CZ810" t="s">
        <v>131</v>
      </c>
      <c r="DA810">
        <v>483</v>
      </c>
      <c r="DB810">
        <v>1</v>
      </c>
      <c r="DC810" t="s">
        <v>169</v>
      </c>
      <c r="DD810" t="s">
        <v>170</v>
      </c>
      <c r="DG810">
        <v>7370281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1</v>
      </c>
      <c r="DQ810">
        <v>0</v>
      </c>
      <c r="DR810">
        <v>0</v>
      </c>
      <c r="DS810">
        <v>0</v>
      </c>
    </row>
    <row r="811" spans="1:123" x14ac:dyDescent="0.25">
      <c r="A811" t="str">
        <f>"11/29/2023 20:25:14.399"</f>
        <v>11/29/2023 20:25:14.399</v>
      </c>
      <c r="C811" t="str">
        <f t="shared" si="100"/>
        <v>FFDF53C0</v>
      </c>
      <c r="D811" t="s">
        <v>123</v>
      </c>
      <c r="E811">
        <v>14</v>
      </c>
      <c r="F811">
        <v>1014</v>
      </c>
      <c r="G811" t="s">
        <v>124</v>
      </c>
      <c r="J811" t="s">
        <v>125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"20:25:14.102"</f>
        <v>20:25:14.102</v>
      </c>
      <c r="T811" t="str">
        <f>"20:25:13.902"</f>
        <v>20:25:13.902</v>
      </c>
      <c r="U811" t="str">
        <f t="shared" si="97"/>
        <v>AA0632</v>
      </c>
      <c r="V811">
        <v>0</v>
      </c>
      <c r="W811">
        <v>0</v>
      </c>
      <c r="X811">
        <v>2</v>
      </c>
      <c r="Y811">
        <v>0</v>
      </c>
      <c r="AA811">
        <v>0</v>
      </c>
      <c r="AB811">
        <v>9</v>
      </c>
      <c r="AC811">
        <v>3</v>
      </c>
      <c r="AD811">
        <v>0</v>
      </c>
      <c r="AE811">
        <v>10</v>
      </c>
      <c r="AF811" t="s">
        <v>126</v>
      </c>
      <c r="AG811">
        <v>0</v>
      </c>
      <c r="AH811">
        <v>0</v>
      </c>
      <c r="AI811">
        <v>2</v>
      </c>
      <c r="AJ811">
        <v>0</v>
      </c>
      <c r="AK811" t="s">
        <v>543</v>
      </c>
      <c r="AL811">
        <v>31.922214</v>
      </c>
      <c r="AM811" t="s">
        <v>545</v>
      </c>
      <c r="AN811">
        <v>-101.01083300000001</v>
      </c>
      <c r="AQ811" t="s">
        <v>129</v>
      </c>
      <c r="AR811">
        <v>93</v>
      </c>
      <c r="AS811">
        <v>-1</v>
      </c>
      <c r="AT811">
        <v>64</v>
      </c>
      <c r="BB811" t="str">
        <f t="shared" si="98"/>
        <v>1200</v>
      </c>
      <c r="BC811">
        <v>1</v>
      </c>
      <c r="BD811" t="str">
        <f t="shared" si="101"/>
        <v xml:space="preserve">N745MB  </v>
      </c>
      <c r="BE811">
        <v>1</v>
      </c>
      <c r="BG811">
        <v>0</v>
      </c>
      <c r="BH811">
        <v>0</v>
      </c>
      <c r="BI811">
        <v>0</v>
      </c>
      <c r="BL811" t="s">
        <v>130</v>
      </c>
      <c r="BM811">
        <v>1</v>
      </c>
      <c r="BN811">
        <v>0</v>
      </c>
      <c r="BO811">
        <v>0</v>
      </c>
      <c r="BP811">
        <v>0</v>
      </c>
      <c r="BT811">
        <v>0</v>
      </c>
      <c r="BU811">
        <v>0</v>
      </c>
      <c r="CE811" t="str">
        <f>"20:25:14.103"</f>
        <v>20:25:14.103</v>
      </c>
      <c r="CF811">
        <v>103293890</v>
      </c>
      <c r="CS811">
        <v>0</v>
      </c>
      <c r="CT811">
        <v>2</v>
      </c>
      <c r="CU811">
        <v>0</v>
      </c>
      <c r="CV811">
        <v>2</v>
      </c>
      <c r="CW811">
        <v>0</v>
      </c>
      <c r="CX811">
        <v>2</v>
      </c>
      <c r="CY811">
        <v>7</v>
      </c>
      <c r="CZ811" t="s">
        <v>131</v>
      </c>
      <c r="DA811">
        <v>483</v>
      </c>
      <c r="DB811">
        <v>1</v>
      </c>
      <c r="DC811" t="s">
        <v>169</v>
      </c>
      <c r="DD811" t="s">
        <v>170</v>
      </c>
      <c r="DG811">
        <v>7370281</v>
      </c>
      <c r="DI811">
        <v>0</v>
      </c>
      <c r="DJ811">
        <v>0</v>
      </c>
      <c r="DK811">
        <v>1</v>
      </c>
      <c r="DL811">
        <v>0</v>
      </c>
      <c r="DM811">
        <v>0</v>
      </c>
      <c r="DN811">
        <v>0</v>
      </c>
      <c r="DO811">
        <v>0</v>
      </c>
      <c r="DP811">
        <v>1</v>
      </c>
      <c r="DQ811">
        <v>0</v>
      </c>
      <c r="DR811">
        <v>0</v>
      </c>
      <c r="DS811">
        <v>0</v>
      </c>
    </row>
    <row r="812" spans="1:123" x14ac:dyDescent="0.25">
      <c r="A812" t="str">
        <f>"11/29/2023 20:25:14.430"</f>
        <v>11/29/2023 20:25:14.430</v>
      </c>
      <c r="C812" t="str">
        <f t="shared" si="100"/>
        <v>FFDF53C0</v>
      </c>
      <c r="D812" t="s">
        <v>164</v>
      </c>
      <c r="E812">
        <v>24</v>
      </c>
      <c r="F812">
        <v>2024</v>
      </c>
      <c r="G812" t="s">
        <v>165</v>
      </c>
      <c r="J812" t="s">
        <v>166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"20:25:14.102"</f>
        <v>20:25:14.102</v>
      </c>
      <c r="T812" t="str">
        <f>"20:25:13.902"</f>
        <v>20:25:13.902</v>
      </c>
      <c r="U812" t="str">
        <f t="shared" si="97"/>
        <v>AA0632</v>
      </c>
      <c r="V812">
        <v>0</v>
      </c>
      <c r="W812">
        <v>0</v>
      </c>
      <c r="X812">
        <v>2</v>
      </c>
      <c r="Y812">
        <v>0</v>
      </c>
      <c r="AA812">
        <v>0</v>
      </c>
      <c r="AB812">
        <v>9</v>
      </c>
      <c r="AC812">
        <v>3</v>
      </c>
      <c r="AD812">
        <v>0</v>
      </c>
      <c r="AE812">
        <v>10</v>
      </c>
      <c r="AF812" t="s">
        <v>126</v>
      </c>
      <c r="AG812">
        <v>0</v>
      </c>
      <c r="AH812">
        <v>0</v>
      </c>
      <c r="AI812">
        <v>2</v>
      </c>
      <c r="AJ812">
        <v>0</v>
      </c>
      <c r="AK812" t="s">
        <v>543</v>
      </c>
      <c r="AL812">
        <v>31.922214</v>
      </c>
      <c r="AM812" t="s">
        <v>545</v>
      </c>
      <c r="AN812">
        <v>-101.01083300000001</v>
      </c>
      <c r="AQ812" t="s">
        <v>129</v>
      </c>
      <c r="AR812">
        <v>93</v>
      </c>
      <c r="AS812">
        <v>-1</v>
      </c>
      <c r="AT812">
        <v>64</v>
      </c>
      <c r="BB812" t="str">
        <f t="shared" si="98"/>
        <v>1200</v>
      </c>
      <c r="BC812">
        <v>1</v>
      </c>
      <c r="BD812" t="str">
        <f t="shared" si="101"/>
        <v xml:space="preserve">N745MB  </v>
      </c>
      <c r="BE812">
        <v>1</v>
      </c>
      <c r="BG812">
        <v>0</v>
      </c>
      <c r="BH812">
        <v>0</v>
      </c>
      <c r="BI812">
        <v>0</v>
      </c>
      <c r="BL812" t="s">
        <v>130</v>
      </c>
      <c r="BM812">
        <v>1</v>
      </c>
      <c r="BN812">
        <v>0</v>
      </c>
      <c r="BO812">
        <v>0</v>
      </c>
      <c r="BP812">
        <v>0</v>
      </c>
      <c r="BT812">
        <v>0</v>
      </c>
      <c r="BU812">
        <v>0</v>
      </c>
      <c r="CE812" t="str">
        <f>"20:25:14.103"</f>
        <v>20:25:14.103</v>
      </c>
      <c r="CF812">
        <v>103293890</v>
      </c>
      <c r="CS812">
        <v>0</v>
      </c>
      <c r="CT812">
        <v>2</v>
      </c>
      <c r="CU812">
        <v>0</v>
      </c>
      <c r="CV812">
        <v>2</v>
      </c>
      <c r="CW812">
        <v>0</v>
      </c>
      <c r="CX812">
        <v>2</v>
      </c>
      <c r="CY812">
        <v>7</v>
      </c>
      <c r="CZ812" t="s">
        <v>131</v>
      </c>
      <c r="DA812">
        <v>483</v>
      </c>
      <c r="DB812">
        <v>1</v>
      </c>
      <c r="DC812" t="s">
        <v>169</v>
      </c>
      <c r="DD812" t="s">
        <v>170</v>
      </c>
      <c r="DG812">
        <v>7370281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1</v>
      </c>
      <c r="DQ812">
        <v>0</v>
      </c>
      <c r="DR812">
        <v>0</v>
      </c>
      <c r="DS812">
        <v>0</v>
      </c>
    </row>
    <row r="813" spans="1:123" x14ac:dyDescent="0.25">
      <c r="A813" t="str">
        <f>"11/29/2023 20:25:16.571"</f>
        <v>11/29/2023 20:25:16.571</v>
      </c>
      <c r="C813" t="str">
        <f t="shared" si="100"/>
        <v>FFDF53C0</v>
      </c>
      <c r="D813" t="s">
        <v>123</v>
      </c>
      <c r="E813">
        <v>14</v>
      </c>
      <c r="F813">
        <v>1014</v>
      </c>
      <c r="G813" t="s">
        <v>124</v>
      </c>
      <c r="J813" t="s">
        <v>125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"20:25:16.094"</f>
        <v>20:25:16.094</v>
      </c>
      <c r="T813" t="str">
        <f>"20:25:15.794"</f>
        <v>20:25:15.794</v>
      </c>
      <c r="U813" t="str">
        <f t="shared" si="97"/>
        <v>AA0632</v>
      </c>
      <c r="V813">
        <v>0</v>
      </c>
      <c r="W813">
        <v>0</v>
      </c>
      <c r="X813">
        <v>2</v>
      </c>
      <c r="Y813">
        <v>0</v>
      </c>
      <c r="AA813">
        <v>0</v>
      </c>
      <c r="AB813">
        <v>9</v>
      </c>
      <c r="AC813">
        <v>3</v>
      </c>
      <c r="AD813">
        <v>0</v>
      </c>
      <c r="AE813">
        <v>10</v>
      </c>
      <c r="AF813" t="s">
        <v>126</v>
      </c>
      <c r="AG813">
        <v>0</v>
      </c>
      <c r="AH813">
        <v>0</v>
      </c>
      <c r="AI813">
        <v>2</v>
      </c>
      <c r="AJ813">
        <v>0</v>
      </c>
      <c r="AK813" t="s">
        <v>543</v>
      </c>
      <c r="AL813">
        <v>31.922214</v>
      </c>
      <c r="AM813" t="s">
        <v>546</v>
      </c>
      <c r="AN813">
        <v>-101.00982399999999</v>
      </c>
      <c r="AQ813" t="s">
        <v>129</v>
      </c>
      <c r="AR813">
        <v>93</v>
      </c>
      <c r="AS813">
        <v>1</v>
      </c>
      <c r="AT813">
        <v>-64</v>
      </c>
      <c r="BB813" t="str">
        <f t="shared" si="98"/>
        <v>1200</v>
      </c>
      <c r="BC813">
        <v>1</v>
      </c>
      <c r="BD813" t="str">
        <f t="shared" si="101"/>
        <v xml:space="preserve">N745MB  </v>
      </c>
      <c r="BE813">
        <v>1</v>
      </c>
      <c r="BG813">
        <v>0</v>
      </c>
      <c r="BH813">
        <v>0</v>
      </c>
      <c r="BI813">
        <v>0</v>
      </c>
      <c r="BL813" t="s">
        <v>130</v>
      </c>
      <c r="BM813">
        <v>1</v>
      </c>
      <c r="BN813">
        <v>0</v>
      </c>
      <c r="BO813">
        <v>0</v>
      </c>
      <c r="BP813">
        <v>0</v>
      </c>
      <c r="BT813">
        <v>0</v>
      </c>
      <c r="BU813">
        <v>0</v>
      </c>
      <c r="CE813" t="str">
        <f>"20:25:16.101"</f>
        <v>20:25:16.101</v>
      </c>
      <c r="CF813">
        <v>101147980</v>
      </c>
      <c r="CS813">
        <v>0</v>
      </c>
      <c r="CT813">
        <v>2</v>
      </c>
      <c r="CU813">
        <v>0</v>
      </c>
      <c r="CV813">
        <v>2</v>
      </c>
      <c r="CW813">
        <v>0</v>
      </c>
      <c r="CX813">
        <v>5</v>
      </c>
      <c r="CY813">
        <v>7</v>
      </c>
      <c r="CZ813" t="s">
        <v>131</v>
      </c>
      <c r="DA813">
        <v>116</v>
      </c>
      <c r="DB813">
        <v>3</v>
      </c>
      <c r="DC813" t="s">
        <v>132</v>
      </c>
      <c r="DD813" t="s">
        <v>133</v>
      </c>
      <c r="DG813">
        <v>8390384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1</v>
      </c>
      <c r="DQ813">
        <v>0</v>
      </c>
      <c r="DR813">
        <v>0</v>
      </c>
      <c r="DS813">
        <v>0</v>
      </c>
    </row>
    <row r="814" spans="1:123" x14ac:dyDescent="0.25">
      <c r="A814" t="str">
        <f>"11/29/2023 20:25:16.571"</f>
        <v>11/29/2023 20:25:16.571</v>
      </c>
      <c r="C814" t="str">
        <f t="shared" si="100"/>
        <v>FFDF53C0</v>
      </c>
      <c r="D814" t="s">
        <v>123</v>
      </c>
      <c r="E814">
        <v>1</v>
      </c>
      <c r="F814">
        <v>1001</v>
      </c>
      <c r="G814" t="s">
        <v>134</v>
      </c>
      <c r="J814" t="s">
        <v>125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"20:25:16.094"</f>
        <v>20:25:16.094</v>
      </c>
      <c r="T814" t="str">
        <f>"20:25:15.794"</f>
        <v>20:25:15.794</v>
      </c>
      <c r="U814" t="str">
        <f t="shared" si="97"/>
        <v>AA0632</v>
      </c>
      <c r="V814">
        <v>0</v>
      </c>
      <c r="W814">
        <v>0</v>
      </c>
      <c r="X814">
        <v>2</v>
      </c>
      <c r="Y814">
        <v>0</v>
      </c>
      <c r="AA814">
        <v>0</v>
      </c>
      <c r="AB814">
        <v>9</v>
      </c>
      <c r="AC814">
        <v>3</v>
      </c>
      <c r="AD814">
        <v>0</v>
      </c>
      <c r="AE814">
        <v>10</v>
      </c>
      <c r="AF814" t="s">
        <v>126</v>
      </c>
      <c r="AG814">
        <v>0</v>
      </c>
      <c r="AH814">
        <v>0</v>
      </c>
      <c r="AI814">
        <v>2</v>
      </c>
      <c r="AJ814">
        <v>0</v>
      </c>
      <c r="AK814" t="s">
        <v>543</v>
      </c>
      <c r="AL814">
        <v>31.922214</v>
      </c>
      <c r="AM814" t="s">
        <v>546</v>
      </c>
      <c r="AN814">
        <v>-101.00982399999999</v>
      </c>
      <c r="AQ814" t="s">
        <v>129</v>
      </c>
      <c r="AR814">
        <v>93</v>
      </c>
      <c r="AS814">
        <v>1</v>
      </c>
      <c r="AT814">
        <v>-64</v>
      </c>
      <c r="BB814" t="str">
        <f t="shared" si="98"/>
        <v>1200</v>
      </c>
      <c r="BC814">
        <v>1</v>
      </c>
      <c r="BD814" t="str">
        <f t="shared" si="101"/>
        <v xml:space="preserve">N745MB  </v>
      </c>
      <c r="BE814">
        <v>1</v>
      </c>
      <c r="BG814">
        <v>0</v>
      </c>
      <c r="BH814">
        <v>0</v>
      </c>
      <c r="BI814">
        <v>0</v>
      </c>
      <c r="BL814" t="s">
        <v>130</v>
      </c>
      <c r="BM814">
        <v>1</v>
      </c>
      <c r="BN814">
        <v>0</v>
      </c>
      <c r="BO814">
        <v>0</v>
      </c>
      <c r="BP814">
        <v>0</v>
      </c>
      <c r="BT814">
        <v>0</v>
      </c>
      <c r="BU814">
        <v>0</v>
      </c>
      <c r="CE814" t="str">
        <f>"20:25:16.101"</f>
        <v>20:25:16.101</v>
      </c>
      <c r="CF814">
        <v>101147980</v>
      </c>
      <c r="CS814">
        <v>0</v>
      </c>
      <c r="CT814">
        <v>2</v>
      </c>
      <c r="CU814">
        <v>0</v>
      </c>
      <c r="CV814">
        <v>2</v>
      </c>
      <c r="CW814">
        <v>0</v>
      </c>
      <c r="CX814">
        <v>5</v>
      </c>
      <c r="CY814">
        <v>7</v>
      </c>
      <c r="CZ814" t="s">
        <v>131</v>
      </c>
      <c r="DA814">
        <v>116</v>
      </c>
      <c r="DB814">
        <v>3</v>
      </c>
      <c r="DC814" t="s">
        <v>132</v>
      </c>
      <c r="DD814" t="s">
        <v>133</v>
      </c>
      <c r="DG814">
        <v>8390384</v>
      </c>
      <c r="DI814">
        <v>0</v>
      </c>
      <c r="DJ814">
        <v>0</v>
      </c>
      <c r="DK814">
        <v>1</v>
      </c>
      <c r="DL814">
        <v>0</v>
      </c>
      <c r="DM814">
        <v>0</v>
      </c>
      <c r="DN814">
        <v>0</v>
      </c>
      <c r="DO814">
        <v>0</v>
      </c>
      <c r="DP814">
        <v>1</v>
      </c>
      <c r="DQ814">
        <v>0</v>
      </c>
      <c r="DR814">
        <v>0</v>
      </c>
      <c r="DS814">
        <v>0</v>
      </c>
    </row>
    <row r="815" spans="1:123" x14ac:dyDescent="0.25">
      <c r="A815" t="str">
        <f>"11/29/2023 20:25:16.649"</f>
        <v>11/29/2023 20:25:16.649</v>
      </c>
      <c r="C815" t="str">
        <f t="shared" si="100"/>
        <v>FFDF53C0</v>
      </c>
      <c r="D815" t="s">
        <v>135</v>
      </c>
      <c r="E815">
        <v>31</v>
      </c>
      <c r="H815">
        <v>285</v>
      </c>
      <c r="I815" t="s">
        <v>136</v>
      </c>
      <c r="J815" t="s">
        <v>137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"20:25:16.094"</f>
        <v>20:25:16.094</v>
      </c>
      <c r="T815" t="str">
        <f>"20:25:15.794"</f>
        <v>20:25:15.794</v>
      </c>
      <c r="U815" t="str">
        <f t="shared" si="97"/>
        <v>AA0632</v>
      </c>
      <c r="V815">
        <v>0</v>
      </c>
      <c r="W815">
        <v>0</v>
      </c>
      <c r="X815">
        <v>2</v>
      </c>
      <c r="Y815">
        <v>0</v>
      </c>
      <c r="AA815">
        <v>0</v>
      </c>
      <c r="AB815">
        <v>9</v>
      </c>
      <c r="AC815">
        <v>3</v>
      </c>
      <c r="AD815">
        <v>0</v>
      </c>
      <c r="AE815">
        <v>10</v>
      </c>
      <c r="AF815" t="s">
        <v>126</v>
      </c>
      <c r="AG815">
        <v>0</v>
      </c>
      <c r="AH815">
        <v>0</v>
      </c>
      <c r="AI815">
        <v>2</v>
      </c>
      <c r="AJ815">
        <v>0</v>
      </c>
      <c r="AK815" t="s">
        <v>543</v>
      </c>
      <c r="AL815">
        <v>31.922214</v>
      </c>
      <c r="AM815" t="s">
        <v>546</v>
      </c>
      <c r="AN815">
        <v>-101.00982399999999</v>
      </c>
      <c r="AQ815" t="s">
        <v>129</v>
      </c>
      <c r="AR815">
        <v>93</v>
      </c>
      <c r="AS815">
        <v>1</v>
      </c>
      <c r="AT815">
        <v>-64</v>
      </c>
      <c r="BB815" t="str">
        <f t="shared" si="98"/>
        <v>1200</v>
      </c>
      <c r="BC815">
        <v>1</v>
      </c>
      <c r="BD815" t="str">
        <f t="shared" si="101"/>
        <v xml:space="preserve">N745MB  </v>
      </c>
      <c r="BE815">
        <v>1</v>
      </c>
      <c r="BG815">
        <v>0</v>
      </c>
      <c r="BH815">
        <v>0</v>
      </c>
      <c r="BI815">
        <v>0</v>
      </c>
      <c r="BL815" t="s">
        <v>130</v>
      </c>
      <c r="BM815">
        <v>1</v>
      </c>
      <c r="BN815">
        <v>0</v>
      </c>
      <c r="BO815">
        <v>0</v>
      </c>
      <c r="BP815">
        <v>0</v>
      </c>
      <c r="BT815">
        <v>0</v>
      </c>
      <c r="BU815">
        <v>0</v>
      </c>
      <c r="CE815" t="str">
        <f>"20:25:16.101"</f>
        <v>20:25:16.101</v>
      </c>
      <c r="CF815">
        <v>101147980</v>
      </c>
      <c r="CS815">
        <v>0</v>
      </c>
      <c r="CT815">
        <v>2</v>
      </c>
      <c r="CU815">
        <v>0</v>
      </c>
      <c r="CV815">
        <v>2</v>
      </c>
      <c r="CW815">
        <v>0</v>
      </c>
      <c r="CX815">
        <v>5</v>
      </c>
      <c r="CY815">
        <v>7</v>
      </c>
      <c r="CZ815" t="s">
        <v>131</v>
      </c>
      <c r="DA815">
        <v>116</v>
      </c>
      <c r="DB815">
        <v>3</v>
      </c>
      <c r="DC815" t="s">
        <v>132</v>
      </c>
      <c r="DD815" t="s">
        <v>133</v>
      </c>
      <c r="DG815">
        <v>8390384</v>
      </c>
      <c r="DI815">
        <v>0</v>
      </c>
      <c r="DJ815">
        <v>0</v>
      </c>
      <c r="DK815">
        <v>1</v>
      </c>
      <c r="DL815">
        <v>0</v>
      </c>
      <c r="DM815">
        <v>0</v>
      </c>
      <c r="DN815">
        <v>0</v>
      </c>
      <c r="DO815">
        <v>0</v>
      </c>
      <c r="DP815">
        <v>1</v>
      </c>
      <c r="DQ815">
        <v>0</v>
      </c>
      <c r="DR815">
        <v>0</v>
      </c>
      <c r="DS815">
        <v>0</v>
      </c>
    </row>
    <row r="816" spans="1:123" x14ac:dyDescent="0.25">
      <c r="A816" t="str">
        <f>"11/29/2023 20:25:16.649"</f>
        <v>11/29/2023 20:25:16.649</v>
      </c>
      <c r="C816" t="str">
        <f t="shared" si="100"/>
        <v>FFDF53C0</v>
      </c>
      <c r="D816" t="s">
        <v>138</v>
      </c>
      <c r="E816">
        <v>3</v>
      </c>
      <c r="H816">
        <v>160</v>
      </c>
      <c r="I816" t="s">
        <v>124</v>
      </c>
      <c r="J816" t="s">
        <v>139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"20:25:16.094"</f>
        <v>20:25:16.094</v>
      </c>
      <c r="T816" t="str">
        <f>"20:25:15.794"</f>
        <v>20:25:15.794</v>
      </c>
      <c r="U816" t="str">
        <f t="shared" si="97"/>
        <v>AA0632</v>
      </c>
      <c r="V816">
        <v>0</v>
      </c>
      <c r="W816">
        <v>0</v>
      </c>
      <c r="X816">
        <v>2</v>
      </c>
      <c r="Y816">
        <v>0</v>
      </c>
      <c r="AA816">
        <v>0</v>
      </c>
      <c r="AB816">
        <v>9</v>
      </c>
      <c r="AC816">
        <v>3</v>
      </c>
      <c r="AD816">
        <v>0</v>
      </c>
      <c r="AE816">
        <v>10</v>
      </c>
      <c r="AF816" t="s">
        <v>126</v>
      </c>
      <c r="AG816">
        <v>0</v>
      </c>
      <c r="AH816">
        <v>0</v>
      </c>
      <c r="AI816">
        <v>2</v>
      </c>
      <c r="AJ816">
        <v>0</v>
      </c>
      <c r="AK816" t="s">
        <v>543</v>
      </c>
      <c r="AL816">
        <v>31.922214</v>
      </c>
      <c r="AM816" t="s">
        <v>546</v>
      </c>
      <c r="AN816">
        <v>-101.00982399999999</v>
      </c>
      <c r="AQ816" t="s">
        <v>129</v>
      </c>
      <c r="AR816">
        <v>93</v>
      </c>
      <c r="AS816">
        <v>1</v>
      </c>
      <c r="AT816">
        <v>-64</v>
      </c>
      <c r="BB816" t="str">
        <f t="shared" si="98"/>
        <v>1200</v>
      </c>
      <c r="BC816">
        <v>1</v>
      </c>
      <c r="BD816" t="str">
        <f t="shared" si="101"/>
        <v xml:space="preserve">N745MB  </v>
      </c>
      <c r="BE816">
        <v>1</v>
      </c>
      <c r="BG816">
        <v>0</v>
      </c>
      <c r="BH816">
        <v>0</v>
      </c>
      <c r="BI816">
        <v>0</v>
      </c>
      <c r="BL816" t="s">
        <v>130</v>
      </c>
      <c r="BM816">
        <v>1</v>
      </c>
      <c r="BN816">
        <v>0</v>
      </c>
      <c r="BO816">
        <v>0</v>
      </c>
      <c r="BP816">
        <v>0</v>
      </c>
      <c r="BT816">
        <v>0</v>
      </c>
      <c r="BU816">
        <v>0</v>
      </c>
      <c r="CE816" t="str">
        <f>"20:25:16.101"</f>
        <v>20:25:16.101</v>
      </c>
      <c r="CF816">
        <v>101147980</v>
      </c>
      <c r="CS816">
        <v>0</v>
      </c>
      <c r="CT816">
        <v>2</v>
      </c>
      <c r="CU816">
        <v>0</v>
      </c>
      <c r="CV816">
        <v>2</v>
      </c>
      <c r="CW816">
        <v>0</v>
      </c>
      <c r="CX816">
        <v>5</v>
      </c>
      <c r="CY816">
        <v>7</v>
      </c>
      <c r="CZ816" t="s">
        <v>131</v>
      </c>
      <c r="DA816">
        <v>116</v>
      </c>
      <c r="DB816">
        <v>3</v>
      </c>
      <c r="DC816" t="s">
        <v>132</v>
      </c>
      <c r="DD816" t="s">
        <v>133</v>
      </c>
      <c r="DG816">
        <v>8390384</v>
      </c>
      <c r="DI816">
        <v>0</v>
      </c>
      <c r="DJ816">
        <v>0</v>
      </c>
      <c r="DK816">
        <v>1</v>
      </c>
      <c r="DL816">
        <v>0</v>
      </c>
      <c r="DM816">
        <v>0</v>
      </c>
      <c r="DN816">
        <v>0</v>
      </c>
      <c r="DO816">
        <v>0</v>
      </c>
      <c r="DP816">
        <v>1</v>
      </c>
      <c r="DQ816">
        <v>0</v>
      </c>
      <c r="DR816">
        <v>0</v>
      </c>
      <c r="DS816">
        <v>0</v>
      </c>
    </row>
    <row r="817" spans="1:123" x14ac:dyDescent="0.25">
      <c r="A817" t="str">
        <f>"11/29/2023 20:25:17.915"</f>
        <v>11/29/2023 20:25:17.915</v>
      </c>
      <c r="C817" t="str">
        <f t="shared" si="100"/>
        <v>FFDF53C0</v>
      </c>
      <c r="D817" t="s">
        <v>123</v>
      </c>
      <c r="E817">
        <v>14</v>
      </c>
      <c r="F817">
        <v>1014</v>
      </c>
      <c r="G817" t="s">
        <v>124</v>
      </c>
      <c r="J817" t="s">
        <v>125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"20:25:17.602"</f>
        <v>20:25:17.602</v>
      </c>
      <c r="T817" t="str">
        <f>"20:25:17.302"</f>
        <v>20:25:17.302</v>
      </c>
      <c r="U817" t="str">
        <f t="shared" si="97"/>
        <v>AA0632</v>
      </c>
      <c r="V817">
        <v>0</v>
      </c>
      <c r="W817">
        <v>0</v>
      </c>
      <c r="X817">
        <v>2</v>
      </c>
      <c r="Y817">
        <v>0</v>
      </c>
      <c r="AA817">
        <v>0</v>
      </c>
      <c r="AB817">
        <v>9</v>
      </c>
      <c r="AC817">
        <v>3</v>
      </c>
      <c r="AD817">
        <v>0</v>
      </c>
      <c r="AE817">
        <v>10</v>
      </c>
      <c r="AF817" t="s">
        <v>126</v>
      </c>
      <c r="AG817">
        <v>0</v>
      </c>
      <c r="AH817">
        <v>0</v>
      </c>
      <c r="AI817">
        <v>2</v>
      </c>
      <c r="AJ817">
        <v>0</v>
      </c>
      <c r="AK817" t="s">
        <v>539</v>
      </c>
      <c r="AL817">
        <v>31.922235000000001</v>
      </c>
      <c r="AM817" t="s">
        <v>547</v>
      </c>
      <c r="AN817">
        <v>-101.009073</v>
      </c>
      <c r="AQ817" t="s">
        <v>129</v>
      </c>
      <c r="AR817">
        <v>93</v>
      </c>
      <c r="AS817">
        <v>3</v>
      </c>
      <c r="AT817">
        <v>64</v>
      </c>
      <c r="BB817" t="str">
        <f t="shared" si="98"/>
        <v>1200</v>
      </c>
      <c r="BC817">
        <v>1</v>
      </c>
      <c r="BD817" t="str">
        <f t="shared" si="101"/>
        <v xml:space="preserve">N745MB  </v>
      </c>
      <c r="BE817">
        <v>1</v>
      </c>
      <c r="BG817">
        <v>0</v>
      </c>
      <c r="BH817">
        <v>0</v>
      </c>
      <c r="BI817">
        <v>0</v>
      </c>
      <c r="BL817" t="s">
        <v>130</v>
      </c>
      <c r="BM817">
        <v>1</v>
      </c>
      <c r="BN817">
        <v>0</v>
      </c>
      <c r="BO817">
        <v>0</v>
      </c>
      <c r="BP817">
        <v>0</v>
      </c>
      <c r="BT817">
        <v>0</v>
      </c>
      <c r="BU817">
        <v>0</v>
      </c>
      <c r="CE817" t="str">
        <f>"20:25:17.603"</f>
        <v>20:25:17.603</v>
      </c>
      <c r="CF817">
        <v>603051729</v>
      </c>
      <c r="CS817">
        <v>0</v>
      </c>
      <c r="CT817">
        <v>2</v>
      </c>
      <c r="CU817">
        <v>0</v>
      </c>
      <c r="CV817">
        <v>2</v>
      </c>
      <c r="CW817">
        <v>0</v>
      </c>
      <c r="CX817">
        <v>5</v>
      </c>
      <c r="CY817">
        <v>7</v>
      </c>
      <c r="CZ817" t="s">
        <v>131</v>
      </c>
      <c r="DA817">
        <v>116</v>
      </c>
      <c r="DB817">
        <v>3</v>
      </c>
      <c r="DC817" t="s">
        <v>132</v>
      </c>
      <c r="DD817" t="s">
        <v>133</v>
      </c>
      <c r="DG817">
        <v>8391178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1</v>
      </c>
      <c r="DQ817">
        <v>0</v>
      </c>
      <c r="DR817">
        <v>0</v>
      </c>
      <c r="DS817">
        <v>0</v>
      </c>
    </row>
    <row r="818" spans="1:123" x14ac:dyDescent="0.25">
      <c r="A818" t="str">
        <f>"11/29/2023 20:25:17.915"</f>
        <v>11/29/2023 20:25:17.915</v>
      </c>
      <c r="C818" t="str">
        <f t="shared" si="100"/>
        <v>FFDF53C0</v>
      </c>
      <c r="D818" t="s">
        <v>123</v>
      </c>
      <c r="E818">
        <v>1</v>
      </c>
      <c r="F818">
        <v>1001</v>
      </c>
      <c r="G818" t="s">
        <v>134</v>
      </c>
      <c r="J818" t="s">
        <v>125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"20:25:17.602"</f>
        <v>20:25:17.602</v>
      </c>
      <c r="T818" t="str">
        <f>"20:25:17.302"</f>
        <v>20:25:17.302</v>
      </c>
      <c r="U818" t="str">
        <f t="shared" si="97"/>
        <v>AA0632</v>
      </c>
      <c r="V818">
        <v>0</v>
      </c>
      <c r="W818">
        <v>0</v>
      </c>
      <c r="X818">
        <v>2</v>
      </c>
      <c r="Y818">
        <v>0</v>
      </c>
      <c r="AA818">
        <v>0</v>
      </c>
      <c r="AB818">
        <v>9</v>
      </c>
      <c r="AC818">
        <v>3</v>
      </c>
      <c r="AD818">
        <v>0</v>
      </c>
      <c r="AE818">
        <v>10</v>
      </c>
      <c r="AF818" t="s">
        <v>126</v>
      </c>
      <c r="AG818">
        <v>0</v>
      </c>
      <c r="AH818">
        <v>0</v>
      </c>
      <c r="AI818">
        <v>2</v>
      </c>
      <c r="AJ818">
        <v>0</v>
      </c>
      <c r="AK818" t="s">
        <v>539</v>
      </c>
      <c r="AL818">
        <v>31.922235000000001</v>
      </c>
      <c r="AM818" t="s">
        <v>547</v>
      </c>
      <c r="AN818">
        <v>-101.009073</v>
      </c>
      <c r="AQ818" t="s">
        <v>129</v>
      </c>
      <c r="AR818">
        <v>93</v>
      </c>
      <c r="AS818">
        <v>3</v>
      </c>
      <c r="AT818">
        <v>64</v>
      </c>
      <c r="BB818" t="str">
        <f t="shared" si="98"/>
        <v>1200</v>
      </c>
      <c r="BC818">
        <v>1</v>
      </c>
      <c r="BD818" t="str">
        <f t="shared" si="101"/>
        <v xml:space="preserve">N745MB  </v>
      </c>
      <c r="BE818">
        <v>1</v>
      </c>
      <c r="BG818">
        <v>0</v>
      </c>
      <c r="BH818">
        <v>0</v>
      </c>
      <c r="BI818">
        <v>0</v>
      </c>
      <c r="BL818" t="s">
        <v>130</v>
      </c>
      <c r="BM818">
        <v>1</v>
      </c>
      <c r="BN818">
        <v>0</v>
      </c>
      <c r="BO818">
        <v>0</v>
      </c>
      <c r="BP818">
        <v>0</v>
      </c>
      <c r="BT818">
        <v>0</v>
      </c>
      <c r="BU818">
        <v>0</v>
      </c>
      <c r="CE818" t="str">
        <f>"20:25:17.603"</f>
        <v>20:25:17.603</v>
      </c>
      <c r="CF818">
        <v>603051729</v>
      </c>
      <c r="CS818">
        <v>0</v>
      </c>
      <c r="CT818">
        <v>2</v>
      </c>
      <c r="CU818">
        <v>0</v>
      </c>
      <c r="CV818">
        <v>2</v>
      </c>
      <c r="CW818">
        <v>0</v>
      </c>
      <c r="CX818">
        <v>5</v>
      </c>
      <c r="CY818">
        <v>7</v>
      </c>
      <c r="CZ818" t="s">
        <v>131</v>
      </c>
      <c r="DA818">
        <v>116</v>
      </c>
      <c r="DB818">
        <v>3</v>
      </c>
      <c r="DC818" t="s">
        <v>132</v>
      </c>
      <c r="DD818" t="s">
        <v>133</v>
      </c>
      <c r="DG818">
        <v>8391178</v>
      </c>
      <c r="DI818">
        <v>0</v>
      </c>
      <c r="DJ818">
        <v>0</v>
      </c>
      <c r="DK818">
        <v>1</v>
      </c>
      <c r="DL818">
        <v>0</v>
      </c>
      <c r="DM818">
        <v>0</v>
      </c>
      <c r="DN818">
        <v>0</v>
      </c>
      <c r="DO818">
        <v>0</v>
      </c>
      <c r="DP818">
        <v>1</v>
      </c>
      <c r="DQ818">
        <v>0</v>
      </c>
      <c r="DR818">
        <v>0</v>
      </c>
      <c r="DS818">
        <v>0</v>
      </c>
    </row>
    <row r="819" spans="1:123" x14ac:dyDescent="0.25">
      <c r="A819" t="str">
        <f>"11/29/2023 20:25:17.977"</f>
        <v>11/29/2023 20:25:17.977</v>
      </c>
      <c r="C819" t="str">
        <f t="shared" si="100"/>
        <v>FFDF53C0</v>
      </c>
      <c r="D819" t="s">
        <v>135</v>
      </c>
      <c r="E819">
        <v>31</v>
      </c>
      <c r="H819">
        <v>285</v>
      </c>
      <c r="I819" t="s">
        <v>136</v>
      </c>
      <c r="J819" t="s">
        <v>137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"20:25:17.602"</f>
        <v>20:25:17.602</v>
      </c>
      <c r="T819" t="str">
        <f>"20:25:17.302"</f>
        <v>20:25:17.302</v>
      </c>
      <c r="U819" t="str">
        <f t="shared" si="97"/>
        <v>AA0632</v>
      </c>
      <c r="V819">
        <v>0</v>
      </c>
      <c r="W819">
        <v>0</v>
      </c>
      <c r="X819">
        <v>2</v>
      </c>
      <c r="Y819">
        <v>0</v>
      </c>
      <c r="AA819">
        <v>0</v>
      </c>
      <c r="AB819">
        <v>9</v>
      </c>
      <c r="AC819">
        <v>3</v>
      </c>
      <c r="AD819">
        <v>0</v>
      </c>
      <c r="AE819">
        <v>10</v>
      </c>
      <c r="AF819" t="s">
        <v>126</v>
      </c>
      <c r="AG819">
        <v>0</v>
      </c>
      <c r="AH819">
        <v>0</v>
      </c>
      <c r="AI819">
        <v>2</v>
      </c>
      <c r="AJ819">
        <v>0</v>
      </c>
      <c r="AK819" t="s">
        <v>539</v>
      </c>
      <c r="AL819">
        <v>31.922235000000001</v>
      </c>
      <c r="AM819" t="s">
        <v>547</v>
      </c>
      <c r="AN819">
        <v>-101.009073</v>
      </c>
      <c r="AQ819" t="s">
        <v>129</v>
      </c>
      <c r="AR819">
        <v>93</v>
      </c>
      <c r="AS819">
        <v>3</v>
      </c>
      <c r="AT819">
        <v>64</v>
      </c>
      <c r="BB819" t="str">
        <f t="shared" si="98"/>
        <v>1200</v>
      </c>
      <c r="BC819">
        <v>1</v>
      </c>
      <c r="BD819" t="str">
        <f t="shared" si="101"/>
        <v xml:space="preserve">N745MB  </v>
      </c>
      <c r="BE819">
        <v>1</v>
      </c>
      <c r="BG819">
        <v>0</v>
      </c>
      <c r="BH819">
        <v>0</v>
      </c>
      <c r="BI819">
        <v>0</v>
      </c>
      <c r="BL819" t="s">
        <v>130</v>
      </c>
      <c r="BM819">
        <v>1</v>
      </c>
      <c r="BN819">
        <v>0</v>
      </c>
      <c r="BO819">
        <v>0</v>
      </c>
      <c r="BP819">
        <v>0</v>
      </c>
      <c r="BT819">
        <v>0</v>
      </c>
      <c r="BU819">
        <v>0</v>
      </c>
      <c r="CE819" t="str">
        <f>"20:25:17.603"</f>
        <v>20:25:17.603</v>
      </c>
      <c r="CF819">
        <v>603051729</v>
      </c>
      <c r="CS819">
        <v>0</v>
      </c>
      <c r="CT819">
        <v>2</v>
      </c>
      <c r="CU819">
        <v>0</v>
      </c>
      <c r="CV819">
        <v>2</v>
      </c>
      <c r="CW819">
        <v>0</v>
      </c>
      <c r="CX819">
        <v>5</v>
      </c>
      <c r="CY819">
        <v>7</v>
      </c>
      <c r="CZ819" t="s">
        <v>131</v>
      </c>
      <c r="DA819">
        <v>116</v>
      </c>
      <c r="DB819">
        <v>3</v>
      </c>
      <c r="DC819" t="s">
        <v>132</v>
      </c>
      <c r="DD819" t="s">
        <v>133</v>
      </c>
      <c r="DG819">
        <v>8391178</v>
      </c>
      <c r="DI819">
        <v>0</v>
      </c>
      <c r="DJ819">
        <v>0</v>
      </c>
      <c r="DK819">
        <v>1</v>
      </c>
      <c r="DL819">
        <v>0</v>
      </c>
      <c r="DM819">
        <v>0</v>
      </c>
      <c r="DN819">
        <v>0</v>
      </c>
      <c r="DO819">
        <v>0</v>
      </c>
      <c r="DP819">
        <v>1</v>
      </c>
      <c r="DQ819">
        <v>0</v>
      </c>
      <c r="DR819">
        <v>0</v>
      </c>
      <c r="DS819">
        <v>0</v>
      </c>
    </row>
    <row r="820" spans="1:123" x14ac:dyDescent="0.25">
      <c r="A820" t="str">
        <f>"11/29/2023 20:25:17.977"</f>
        <v>11/29/2023 20:25:17.977</v>
      </c>
      <c r="C820" t="str">
        <f t="shared" si="100"/>
        <v>FFDF53C0</v>
      </c>
      <c r="D820" t="s">
        <v>138</v>
      </c>
      <c r="E820">
        <v>3</v>
      </c>
      <c r="H820">
        <v>160</v>
      </c>
      <c r="I820" t="s">
        <v>124</v>
      </c>
      <c r="J820" t="s">
        <v>139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"20:25:17.602"</f>
        <v>20:25:17.602</v>
      </c>
      <c r="T820" t="str">
        <f>"20:25:17.302"</f>
        <v>20:25:17.302</v>
      </c>
      <c r="U820" t="str">
        <f t="shared" si="97"/>
        <v>AA0632</v>
      </c>
      <c r="V820">
        <v>0</v>
      </c>
      <c r="W820">
        <v>0</v>
      </c>
      <c r="X820">
        <v>2</v>
      </c>
      <c r="Y820">
        <v>0</v>
      </c>
      <c r="AA820">
        <v>0</v>
      </c>
      <c r="AB820">
        <v>9</v>
      </c>
      <c r="AC820">
        <v>3</v>
      </c>
      <c r="AD820">
        <v>0</v>
      </c>
      <c r="AE820">
        <v>10</v>
      </c>
      <c r="AF820" t="s">
        <v>126</v>
      </c>
      <c r="AG820">
        <v>0</v>
      </c>
      <c r="AH820">
        <v>0</v>
      </c>
      <c r="AI820">
        <v>2</v>
      </c>
      <c r="AJ820">
        <v>0</v>
      </c>
      <c r="AK820" t="s">
        <v>539</v>
      </c>
      <c r="AL820">
        <v>31.922235000000001</v>
      </c>
      <c r="AM820" t="s">
        <v>547</v>
      </c>
      <c r="AN820">
        <v>-101.009073</v>
      </c>
      <c r="AQ820" t="s">
        <v>129</v>
      </c>
      <c r="AR820">
        <v>93</v>
      </c>
      <c r="AS820">
        <v>3</v>
      </c>
      <c r="AT820">
        <v>64</v>
      </c>
      <c r="BB820" t="str">
        <f t="shared" si="98"/>
        <v>1200</v>
      </c>
      <c r="BC820">
        <v>1</v>
      </c>
      <c r="BD820" t="str">
        <f t="shared" si="101"/>
        <v xml:space="preserve">N745MB  </v>
      </c>
      <c r="BE820">
        <v>1</v>
      </c>
      <c r="BG820">
        <v>0</v>
      </c>
      <c r="BH820">
        <v>0</v>
      </c>
      <c r="BI820">
        <v>0</v>
      </c>
      <c r="BL820" t="s">
        <v>130</v>
      </c>
      <c r="BM820">
        <v>1</v>
      </c>
      <c r="BN820">
        <v>0</v>
      </c>
      <c r="BO820">
        <v>0</v>
      </c>
      <c r="BP820">
        <v>0</v>
      </c>
      <c r="BT820">
        <v>0</v>
      </c>
      <c r="BU820">
        <v>0</v>
      </c>
      <c r="CE820" t="str">
        <f>"20:25:17.603"</f>
        <v>20:25:17.603</v>
      </c>
      <c r="CF820">
        <v>603051729</v>
      </c>
      <c r="CS820">
        <v>0</v>
      </c>
      <c r="CT820">
        <v>2</v>
      </c>
      <c r="CU820">
        <v>0</v>
      </c>
      <c r="CV820">
        <v>2</v>
      </c>
      <c r="CW820">
        <v>0</v>
      </c>
      <c r="CX820">
        <v>5</v>
      </c>
      <c r="CY820">
        <v>7</v>
      </c>
      <c r="CZ820" t="s">
        <v>131</v>
      </c>
      <c r="DA820">
        <v>116</v>
      </c>
      <c r="DB820">
        <v>3</v>
      </c>
      <c r="DC820" t="s">
        <v>132</v>
      </c>
      <c r="DD820" t="s">
        <v>133</v>
      </c>
      <c r="DG820">
        <v>8391178</v>
      </c>
      <c r="DI820">
        <v>0</v>
      </c>
      <c r="DJ820">
        <v>0</v>
      </c>
      <c r="DK820">
        <v>1</v>
      </c>
      <c r="DL820">
        <v>0</v>
      </c>
      <c r="DM820">
        <v>0</v>
      </c>
      <c r="DN820">
        <v>0</v>
      </c>
      <c r="DO820">
        <v>0</v>
      </c>
      <c r="DP820">
        <v>1</v>
      </c>
      <c r="DQ820">
        <v>0</v>
      </c>
      <c r="DR820">
        <v>0</v>
      </c>
      <c r="DS820">
        <v>0</v>
      </c>
    </row>
    <row r="821" spans="1:123" x14ac:dyDescent="0.25">
      <c r="A821" t="str">
        <f>"11/29/2023 20:25:18.774"</f>
        <v>11/29/2023 20:25:18.774</v>
      </c>
      <c r="C821" t="str">
        <f t="shared" si="100"/>
        <v>FFDF53C0</v>
      </c>
      <c r="D821" t="s">
        <v>123</v>
      </c>
      <c r="E821">
        <v>14</v>
      </c>
      <c r="F821">
        <v>1014</v>
      </c>
      <c r="G821" t="s">
        <v>124</v>
      </c>
      <c r="J821" t="s">
        <v>125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"20:25:18.438"</f>
        <v>20:25:18.438</v>
      </c>
      <c r="T821" t="str">
        <f>"20:25:17.738"</f>
        <v>20:25:17.738</v>
      </c>
      <c r="U821" t="str">
        <f t="shared" si="97"/>
        <v>AA0632</v>
      </c>
      <c r="V821">
        <v>0</v>
      </c>
      <c r="W821">
        <v>0</v>
      </c>
      <c r="X821">
        <v>2</v>
      </c>
      <c r="Y821">
        <v>0</v>
      </c>
      <c r="AA821">
        <v>0</v>
      </c>
      <c r="AB821">
        <v>9</v>
      </c>
      <c r="AC821">
        <v>3</v>
      </c>
      <c r="AD821">
        <v>0</v>
      </c>
      <c r="AE821">
        <v>10</v>
      </c>
      <c r="AF821" t="s">
        <v>126</v>
      </c>
      <c r="AG821">
        <v>0</v>
      </c>
      <c r="AH821">
        <v>0</v>
      </c>
      <c r="AI821">
        <v>2</v>
      </c>
      <c r="AJ821">
        <v>0</v>
      </c>
      <c r="AK821" t="s">
        <v>539</v>
      </c>
      <c r="AL821">
        <v>31.922235000000001</v>
      </c>
      <c r="AM821" t="s">
        <v>548</v>
      </c>
      <c r="AN821">
        <v>-101.008623</v>
      </c>
      <c r="AQ821" t="s">
        <v>129</v>
      </c>
      <c r="AR821">
        <v>93</v>
      </c>
      <c r="AS821">
        <v>3</v>
      </c>
      <c r="AT821">
        <v>64</v>
      </c>
      <c r="BB821" t="str">
        <f t="shared" si="98"/>
        <v>1200</v>
      </c>
      <c r="BC821">
        <v>1</v>
      </c>
      <c r="BD821" t="str">
        <f t="shared" si="101"/>
        <v xml:space="preserve">N745MB  </v>
      </c>
      <c r="BE821">
        <v>1</v>
      </c>
      <c r="BG821">
        <v>0</v>
      </c>
      <c r="BH821">
        <v>0</v>
      </c>
      <c r="BI821">
        <v>0</v>
      </c>
      <c r="BL821" t="s">
        <v>130</v>
      </c>
      <c r="BM821">
        <v>1</v>
      </c>
      <c r="BN821">
        <v>0</v>
      </c>
      <c r="BO821">
        <v>0</v>
      </c>
      <c r="BP821">
        <v>0</v>
      </c>
      <c r="BT821">
        <v>0</v>
      </c>
      <c r="BU821">
        <v>0</v>
      </c>
      <c r="CE821" t="str">
        <f>"20:25:18.443"</f>
        <v>20:25:18.443</v>
      </c>
      <c r="CF821">
        <v>443002255</v>
      </c>
      <c r="CS821">
        <v>0</v>
      </c>
      <c r="CT821">
        <v>2</v>
      </c>
      <c r="CU821">
        <v>0</v>
      </c>
      <c r="CV821">
        <v>2</v>
      </c>
      <c r="CW821">
        <v>0</v>
      </c>
      <c r="CX821">
        <v>2</v>
      </c>
      <c r="CY821">
        <v>7</v>
      </c>
      <c r="CZ821" t="s">
        <v>131</v>
      </c>
      <c r="DA821">
        <v>483</v>
      </c>
      <c r="DB821">
        <v>1</v>
      </c>
      <c r="DC821" t="s">
        <v>169</v>
      </c>
      <c r="DD821" t="s">
        <v>170</v>
      </c>
      <c r="DG821">
        <v>7370909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1</v>
      </c>
      <c r="DQ821">
        <v>0</v>
      </c>
      <c r="DR821">
        <v>0</v>
      </c>
      <c r="DS821">
        <v>0</v>
      </c>
    </row>
    <row r="822" spans="1:123" x14ac:dyDescent="0.25">
      <c r="A822" t="str">
        <f>"11/29/2023 20:25:18.821"</f>
        <v>11/29/2023 20:25:18.821</v>
      </c>
      <c r="C822" t="str">
        <f t="shared" si="100"/>
        <v>FFDF53C0</v>
      </c>
      <c r="D822" t="s">
        <v>164</v>
      </c>
      <c r="E822">
        <v>24</v>
      </c>
      <c r="F822">
        <v>2024</v>
      </c>
      <c r="G822" t="s">
        <v>165</v>
      </c>
      <c r="J822" t="s">
        <v>166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"20:25:18.438"</f>
        <v>20:25:18.438</v>
      </c>
      <c r="T822" t="str">
        <f>"20:25:17.738"</f>
        <v>20:25:17.738</v>
      </c>
      <c r="U822" t="str">
        <f t="shared" si="97"/>
        <v>AA0632</v>
      </c>
      <c r="V822">
        <v>0</v>
      </c>
      <c r="W822">
        <v>0</v>
      </c>
      <c r="X822">
        <v>2</v>
      </c>
      <c r="Y822">
        <v>0</v>
      </c>
      <c r="AA822">
        <v>0</v>
      </c>
      <c r="AB822">
        <v>9</v>
      </c>
      <c r="AC822">
        <v>3</v>
      </c>
      <c r="AD822">
        <v>0</v>
      </c>
      <c r="AE822">
        <v>10</v>
      </c>
      <c r="AF822" t="s">
        <v>126</v>
      </c>
      <c r="AG822">
        <v>0</v>
      </c>
      <c r="AH822">
        <v>0</v>
      </c>
      <c r="AI822">
        <v>2</v>
      </c>
      <c r="AJ822">
        <v>0</v>
      </c>
      <c r="AK822" t="s">
        <v>539</v>
      </c>
      <c r="AL822">
        <v>31.922235000000001</v>
      </c>
      <c r="AM822" t="s">
        <v>548</v>
      </c>
      <c r="AN822">
        <v>-101.008623</v>
      </c>
      <c r="AQ822" t="s">
        <v>129</v>
      </c>
      <c r="AR822">
        <v>93</v>
      </c>
      <c r="AS822">
        <v>3</v>
      </c>
      <c r="AT822">
        <v>64</v>
      </c>
      <c r="BB822" t="str">
        <f t="shared" si="98"/>
        <v>1200</v>
      </c>
      <c r="BC822">
        <v>1</v>
      </c>
      <c r="BD822" t="str">
        <f t="shared" si="101"/>
        <v xml:space="preserve">N745MB  </v>
      </c>
      <c r="BE822">
        <v>1</v>
      </c>
      <c r="BG822">
        <v>0</v>
      </c>
      <c r="BH822">
        <v>0</v>
      </c>
      <c r="BI822">
        <v>0</v>
      </c>
      <c r="BL822" t="s">
        <v>130</v>
      </c>
      <c r="BM822">
        <v>1</v>
      </c>
      <c r="BN822">
        <v>0</v>
      </c>
      <c r="BO822">
        <v>0</v>
      </c>
      <c r="BP822">
        <v>0</v>
      </c>
      <c r="BT822">
        <v>0</v>
      </c>
      <c r="BU822">
        <v>0</v>
      </c>
      <c r="CE822" t="str">
        <f>"20:25:18.443"</f>
        <v>20:25:18.443</v>
      </c>
      <c r="CF822">
        <v>443002255</v>
      </c>
      <c r="CS822">
        <v>0</v>
      </c>
      <c r="CT822">
        <v>2</v>
      </c>
      <c r="CU822">
        <v>0</v>
      </c>
      <c r="CV822">
        <v>2</v>
      </c>
      <c r="CW822">
        <v>0</v>
      </c>
      <c r="CX822">
        <v>2</v>
      </c>
      <c r="CY822">
        <v>7</v>
      </c>
      <c r="CZ822" t="s">
        <v>131</v>
      </c>
      <c r="DA822">
        <v>483</v>
      </c>
      <c r="DB822">
        <v>1</v>
      </c>
      <c r="DC822" t="s">
        <v>169</v>
      </c>
      <c r="DD822" t="s">
        <v>170</v>
      </c>
      <c r="DG822">
        <v>7370909</v>
      </c>
      <c r="DI822">
        <v>0</v>
      </c>
      <c r="DJ822">
        <v>0</v>
      </c>
      <c r="DK822">
        <v>1</v>
      </c>
      <c r="DL822">
        <v>0</v>
      </c>
      <c r="DM822">
        <v>0</v>
      </c>
      <c r="DN822">
        <v>0</v>
      </c>
      <c r="DO822">
        <v>0</v>
      </c>
      <c r="DP822">
        <v>1</v>
      </c>
      <c r="DQ822">
        <v>0</v>
      </c>
      <c r="DR822">
        <v>0</v>
      </c>
      <c r="DS822">
        <v>0</v>
      </c>
    </row>
    <row r="823" spans="1:123" x14ac:dyDescent="0.25">
      <c r="A823" t="str">
        <f>"11/29/2023 20:25:18.868"</f>
        <v>11/29/2023 20:25:18.868</v>
      </c>
      <c r="C823" t="str">
        <f t="shared" si="100"/>
        <v>FFDF53C0</v>
      </c>
      <c r="D823" t="s">
        <v>138</v>
      </c>
      <c r="E823">
        <v>3</v>
      </c>
      <c r="H823">
        <v>160</v>
      </c>
      <c r="I823" t="s">
        <v>124</v>
      </c>
      <c r="J823" t="s">
        <v>139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"20:25:18.438"</f>
        <v>20:25:18.438</v>
      </c>
      <c r="T823" t="str">
        <f>"20:25:17.738"</f>
        <v>20:25:17.738</v>
      </c>
      <c r="U823" t="str">
        <f t="shared" si="97"/>
        <v>AA0632</v>
      </c>
      <c r="V823">
        <v>0</v>
      </c>
      <c r="W823">
        <v>0</v>
      </c>
      <c r="X823">
        <v>2</v>
      </c>
      <c r="Y823">
        <v>0</v>
      </c>
      <c r="AA823">
        <v>0</v>
      </c>
      <c r="AB823">
        <v>9</v>
      </c>
      <c r="AC823">
        <v>3</v>
      </c>
      <c r="AD823">
        <v>0</v>
      </c>
      <c r="AE823">
        <v>10</v>
      </c>
      <c r="AF823" t="s">
        <v>126</v>
      </c>
      <c r="AG823">
        <v>0</v>
      </c>
      <c r="AH823">
        <v>0</v>
      </c>
      <c r="AI823">
        <v>2</v>
      </c>
      <c r="AJ823">
        <v>0</v>
      </c>
      <c r="AK823" t="s">
        <v>539</v>
      </c>
      <c r="AL823">
        <v>31.922235000000001</v>
      </c>
      <c r="AM823" t="s">
        <v>548</v>
      </c>
      <c r="AN823">
        <v>-101.008623</v>
      </c>
      <c r="AQ823" t="s">
        <v>129</v>
      </c>
      <c r="AR823">
        <v>93</v>
      </c>
      <c r="AS823">
        <v>3</v>
      </c>
      <c r="AT823">
        <v>64</v>
      </c>
      <c r="BB823" t="str">
        <f t="shared" si="98"/>
        <v>1200</v>
      </c>
      <c r="BC823">
        <v>1</v>
      </c>
      <c r="BD823" t="str">
        <f t="shared" si="101"/>
        <v xml:space="preserve">N745MB  </v>
      </c>
      <c r="BE823">
        <v>1</v>
      </c>
      <c r="BG823">
        <v>0</v>
      </c>
      <c r="BH823">
        <v>0</v>
      </c>
      <c r="BI823">
        <v>0</v>
      </c>
      <c r="BL823" t="s">
        <v>130</v>
      </c>
      <c r="BM823">
        <v>1</v>
      </c>
      <c r="BN823">
        <v>0</v>
      </c>
      <c r="BO823">
        <v>0</v>
      </c>
      <c r="BP823">
        <v>0</v>
      </c>
      <c r="BT823">
        <v>0</v>
      </c>
      <c r="BU823">
        <v>0</v>
      </c>
      <c r="CE823" t="str">
        <f>"20:25:18.443"</f>
        <v>20:25:18.443</v>
      </c>
      <c r="CF823">
        <v>443002255</v>
      </c>
      <c r="CS823">
        <v>0</v>
      </c>
      <c r="CT823">
        <v>2</v>
      </c>
      <c r="CU823">
        <v>0</v>
      </c>
      <c r="CV823">
        <v>2</v>
      </c>
      <c r="CW823">
        <v>0</v>
      </c>
      <c r="CX823">
        <v>2</v>
      </c>
      <c r="CY823">
        <v>7</v>
      </c>
      <c r="CZ823" t="s">
        <v>131</v>
      </c>
      <c r="DA823">
        <v>483</v>
      </c>
      <c r="DB823">
        <v>1</v>
      </c>
      <c r="DC823" t="s">
        <v>169</v>
      </c>
      <c r="DD823" t="s">
        <v>170</v>
      </c>
      <c r="DG823">
        <v>7370909</v>
      </c>
      <c r="DI823">
        <v>0</v>
      </c>
      <c r="DJ823">
        <v>0</v>
      </c>
      <c r="DK823">
        <v>1</v>
      </c>
      <c r="DL823">
        <v>0</v>
      </c>
      <c r="DM823">
        <v>0</v>
      </c>
      <c r="DN823">
        <v>0</v>
      </c>
      <c r="DO823">
        <v>0</v>
      </c>
      <c r="DP823">
        <v>1</v>
      </c>
      <c r="DQ823">
        <v>0</v>
      </c>
      <c r="DR823">
        <v>0</v>
      </c>
      <c r="DS823">
        <v>0</v>
      </c>
    </row>
    <row r="824" spans="1:123" x14ac:dyDescent="0.25">
      <c r="A824" t="str">
        <f>"11/29/2023 20:25:20.555"</f>
        <v>11/29/2023 20:25:20.555</v>
      </c>
      <c r="C824" t="str">
        <f t="shared" si="100"/>
        <v>FFDF53C0</v>
      </c>
      <c r="D824" t="s">
        <v>135</v>
      </c>
      <c r="E824">
        <v>31</v>
      </c>
      <c r="H824">
        <v>285</v>
      </c>
      <c r="I824" t="s">
        <v>136</v>
      </c>
      <c r="J824" t="s">
        <v>137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"20:25:20.227"</f>
        <v>20:25:20.227</v>
      </c>
      <c r="T824" t="str">
        <f>"20:25:19.727"</f>
        <v>20:25:19.727</v>
      </c>
      <c r="U824" t="str">
        <f t="shared" si="97"/>
        <v>AA0632</v>
      </c>
      <c r="V824">
        <v>0</v>
      </c>
      <c r="W824">
        <v>0</v>
      </c>
      <c r="X824">
        <v>2</v>
      </c>
      <c r="Y824">
        <v>0</v>
      </c>
      <c r="AA824">
        <v>0</v>
      </c>
      <c r="AB824">
        <v>9</v>
      </c>
      <c r="AC824">
        <v>3</v>
      </c>
      <c r="AD824">
        <v>0</v>
      </c>
      <c r="AE824">
        <v>10</v>
      </c>
      <c r="AF824" t="s">
        <v>126</v>
      </c>
      <c r="AG824">
        <v>0</v>
      </c>
      <c r="AH824">
        <v>0</v>
      </c>
      <c r="AI824">
        <v>2</v>
      </c>
      <c r="AJ824">
        <v>0</v>
      </c>
      <c r="AK824" t="s">
        <v>534</v>
      </c>
      <c r="AL824">
        <v>31.922277999999999</v>
      </c>
      <c r="AM824" t="s">
        <v>549</v>
      </c>
      <c r="AN824">
        <v>-101.007743</v>
      </c>
      <c r="AQ824" t="s">
        <v>129</v>
      </c>
      <c r="AR824">
        <v>94</v>
      </c>
      <c r="AS824">
        <v>4</v>
      </c>
      <c r="AT824">
        <v>64</v>
      </c>
      <c r="BB824" t="str">
        <f t="shared" si="98"/>
        <v>1200</v>
      </c>
      <c r="BC824">
        <v>1</v>
      </c>
      <c r="BD824" t="str">
        <f t="shared" si="101"/>
        <v xml:space="preserve">N745MB  </v>
      </c>
      <c r="BE824">
        <v>1</v>
      </c>
      <c r="BG824">
        <v>0</v>
      </c>
      <c r="BH824">
        <v>0</v>
      </c>
      <c r="BI824">
        <v>0</v>
      </c>
      <c r="BL824" t="s">
        <v>130</v>
      </c>
      <c r="BM824">
        <v>1</v>
      </c>
      <c r="BN824">
        <v>0</v>
      </c>
      <c r="BO824">
        <v>0</v>
      </c>
      <c r="BP824">
        <v>0</v>
      </c>
      <c r="BT824">
        <v>0</v>
      </c>
      <c r="BU824">
        <v>0</v>
      </c>
      <c r="CE824" t="str">
        <f>"20:25:20.233"</f>
        <v>20:25:20.233</v>
      </c>
      <c r="CF824">
        <v>232870758</v>
      </c>
      <c r="CS824">
        <v>0</v>
      </c>
      <c r="CT824">
        <v>2</v>
      </c>
      <c r="CU824">
        <v>0</v>
      </c>
      <c r="CV824">
        <v>2</v>
      </c>
      <c r="CW824">
        <v>0</v>
      </c>
      <c r="CX824">
        <v>5</v>
      </c>
      <c r="CY824">
        <v>7</v>
      </c>
      <c r="CZ824" t="s">
        <v>131</v>
      </c>
      <c r="DA824">
        <v>116</v>
      </c>
      <c r="DB824">
        <v>0</v>
      </c>
      <c r="DC824" t="s">
        <v>132</v>
      </c>
      <c r="DD824" t="s">
        <v>133</v>
      </c>
      <c r="DG824">
        <v>14642191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1</v>
      </c>
      <c r="DQ824">
        <v>0</v>
      </c>
      <c r="DR824">
        <v>0</v>
      </c>
      <c r="DS824">
        <v>0</v>
      </c>
    </row>
    <row r="825" spans="1:123" x14ac:dyDescent="0.25">
      <c r="A825" t="str">
        <f>"11/29/2023 20:25:20.555"</f>
        <v>11/29/2023 20:25:20.555</v>
      </c>
      <c r="C825" t="str">
        <f t="shared" si="100"/>
        <v>FFDF53C0</v>
      </c>
      <c r="D825" t="s">
        <v>138</v>
      </c>
      <c r="E825">
        <v>3</v>
      </c>
      <c r="H825">
        <v>160</v>
      </c>
      <c r="I825" t="s">
        <v>124</v>
      </c>
      <c r="J825" t="s">
        <v>139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"20:25:20.227"</f>
        <v>20:25:20.227</v>
      </c>
      <c r="T825" t="str">
        <f>"20:25:19.727"</f>
        <v>20:25:19.727</v>
      </c>
      <c r="U825" t="str">
        <f t="shared" si="97"/>
        <v>AA0632</v>
      </c>
      <c r="V825">
        <v>0</v>
      </c>
      <c r="W825">
        <v>0</v>
      </c>
      <c r="X825">
        <v>2</v>
      </c>
      <c r="Y825">
        <v>0</v>
      </c>
      <c r="AA825">
        <v>0</v>
      </c>
      <c r="AB825">
        <v>9</v>
      </c>
      <c r="AC825">
        <v>3</v>
      </c>
      <c r="AD825">
        <v>0</v>
      </c>
      <c r="AE825">
        <v>10</v>
      </c>
      <c r="AF825" t="s">
        <v>126</v>
      </c>
      <c r="AG825">
        <v>0</v>
      </c>
      <c r="AH825">
        <v>0</v>
      </c>
      <c r="AI825">
        <v>2</v>
      </c>
      <c r="AJ825">
        <v>0</v>
      </c>
      <c r="AK825" t="s">
        <v>534</v>
      </c>
      <c r="AL825">
        <v>31.922277999999999</v>
      </c>
      <c r="AM825" t="s">
        <v>549</v>
      </c>
      <c r="AN825">
        <v>-101.007743</v>
      </c>
      <c r="AQ825" t="s">
        <v>129</v>
      </c>
      <c r="AR825">
        <v>94</v>
      </c>
      <c r="AS825">
        <v>4</v>
      </c>
      <c r="AT825">
        <v>64</v>
      </c>
      <c r="BB825" t="str">
        <f t="shared" si="98"/>
        <v>1200</v>
      </c>
      <c r="BC825">
        <v>1</v>
      </c>
      <c r="BD825" t="str">
        <f t="shared" si="101"/>
        <v xml:space="preserve">N745MB  </v>
      </c>
      <c r="BE825">
        <v>1</v>
      </c>
      <c r="BG825">
        <v>0</v>
      </c>
      <c r="BH825">
        <v>0</v>
      </c>
      <c r="BI825">
        <v>0</v>
      </c>
      <c r="BL825" t="s">
        <v>130</v>
      </c>
      <c r="BM825">
        <v>1</v>
      </c>
      <c r="BN825">
        <v>0</v>
      </c>
      <c r="BO825">
        <v>0</v>
      </c>
      <c r="BP825">
        <v>0</v>
      </c>
      <c r="BT825">
        <v>0</v>
      </c>
      <c r="BU825">
        <v>0</v>
      </c>
      <c r="CE825" t="str">
        <f>"20:25:20.233"</f>
        <v>20:25:20.233</v>
      </c>
      <c r="CF825">
        <v>232870758</v>
      </c>
      <c r="CS825">
        <v>0</v>
      </c>
      <c r="CT825">
        <v>2</v>
      </c>
      <c r="CU825">
        <v>0</v>
      </c>
      <c r="CV825">
        <v>2</v>
      </c>
      <c r="CW825">
        <v>0</v>
      </c>
      <c r="CX825">
        <v>5</v>
      </c>
      <c r="CY825">
        <v>7</v>
      </c>
      <c r="CZ825" t="s">
        <v>131</v>
      </c>
      <c r="DA825">
        <v>116</v>
      </c>
      <c r="DB825">
        <v>0</v>
      </c>
      <c r="DC825" t="s">
        <v>132</v>
      </c>
      <c r="DD825" t="s">
        <v>133</v>
      </c>
      <c r="DG825">
        <v>14642191</v>
      </c>
      <c r="DI825">
        <v>0</v>
      </c>
      <c r="DJ825">
        <v>0</v>
      </c>
      <c r="DK825">
        <v>1</v>
      </c>
      <c r="DL825">
        <v>0</v>
      </c>
      <c r="DM825">
        <v>0</v>
      </c>
      <c r="DN825">
        <v>0</v>
      </c>
      <c r="DO825">
        <v>0</v>
      </c>
      <c r="DP825">
        <v>1</v>
      </c>
      <c r="DQ825">
        <v>0</v>
      </c>
      <c r="DR825">
        <v>0</v>
      </c>
      <c r="DS825">
        <v>0</v>
      </c>
    </row>
    <row r="826" spans="1:123" x14ac:dyDescent="0.25">
      <c r="A826" t="str">
        <f>"11/29/2023 20:25:20.555"</f>
        <v>11/29/2023 20:25:20.555</v>
      </c>
      <c r="C826" t="str">
        <f t="shared" si="100"/>
        <v>FFDF53C0</v>
      </c>
      <c r="D826" t="s">
        <v>123</v>
      </c>
      <c r="E826">
        <v>1</v>
      </c>
      <c r="F826">
        <v>1001</v>
      </c>
      <c r="G826" t="s">
        <v>134</v>
      </c>
      <c r="J826" t="s">
        <v>125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"20:25:20.227"</f>
        <v>20:25:20.227</v>
      </c>
      <c r="T826" t="str">
        <f>"20:25:19.727"</f>
        <v>20:25:19.727</v>
      </c>
      <c r="U826" t="str">
        <f t="shared" si="97"/>
        <v>AA0632</v>
      </c>
      <c r="V826">
        <v>0</v>
      </c>
      <c r="W826">
        <v>0</v>
      </c>
      <c r="X826">
        <v>2</v>
      </c>
      <c r="Y826">
        <v>0</v>
      </c>
      <c r="AA826">
        <v>0</v>
      </c>
      <c r="AB826">
        <v>9</v>
      </c>
      <c r="AC826">
        <v>3</v>
      </c>
      <c r="AD826">
        <v>0</v>
      </c>
      <c r="AE826">
        <v>10</v>
      </c>
      <c r="AF826" t="s">
        <v>126</v>
      </c>
      <c r="AG826">
        <v>0</v>
      </c>
      <c r="AH826">
        <v>0</v>
      </c>
      <c r="AI826">
        <v>2</v>
      </c>
      <c r="AJ826">
        <v>0</v>
      </c>
      <c r="AK826" t="s">
        <v>534</v>
      </c>
      <c r="AL826">
        <v>31.922277999999999</v>
      </c>
      <c r="AM826" t="s">
        <v>549</v>
      </c>
      <c r="AN826">
        <v>-101.007743</v>
      </c>
      <c r="AQ826" t="s">
        <v>129</v>
      </c>
      <c r="AR826">
        <v>94</v>
      </c>
      <c r="AS826">
        <v>4</v>
      </c>
      <c r="AT826">
        <v>64</v>
      </c>
      <c r="BB826" t="str">
        <f t="shared" si="98"/>
        <v>1200</v>
      </c>
      <c r="BC826">
        <v>1</v>
      </c>
      <c r="BD826" t="str">
        <f t="shared" si="101"/>
        <v xml:space="preserve">N745MB  </v>
      </c>
      <c r="BE826">
        <v>1</v>
      </c>
      <c r="BG826">
        <v>0</v>
      </c>
      <c r="BH826">
        <v>0</v>
      </c>
      <c r="BI826">
        <v>0</v>
      </c>
      <c r="BL826" t="s">
        <v>130</v>
      </c>
      <c r="BM826">
        <v>1</v>
      </c>
      <c r="BN826">
        <v>0</v>
      </c>
      <c r="BO826">
        <v>0</v>
      </c>
      <c r="BP826">
        <v>0</v>
      </c>
      <c r="BT826">
        <v>0</v>
      </c>
      <c r="BU826">
        <v>0</v>
      </c>
      <c r="CE826" t="str">
        <f>"20:25:20.233"</f>
        <v>20:25:20.233</v>
      </c>
      <c r="CF826">
        <v>232870758</v>
      </c>
      <c r="CS826">
        <v>0</v>
      </c>
      <c r="CT826">
        <v>2</v>
      </c>
      <c r="CU826">
        <v>0</v>
      </c>
      <c r="CV826">
        <v>2</v>
      </c>
      <c r="CW826">
        <v>0</v>
      </c>
      <c r="CX826">
        <v>5</v>
      </c>
      <c r="CY826">
        <v>7</v>
      </c>
      <c r="CZ826" t="s">
        <v>131</v>
      </c>
      <c r="DA826">
        <v>116</v>
      </c>
      <c r="DB826">
        <v>0</v>
      </c>
      <c r="DC826" t="s">
        <v>132</v>
      </c>
      <c r="DD826" t="s">
        <v>133</v>
      </c>
      <c r="DG826">
        <v>14642191</v>
      </c>
      <c r="DI826">
        <v>0</v>
      </c>
      <c r="DJ826">
        <v>0</v>
      </c>
      <c r="DK826">
        <v>1</v>
      </c>
      <c r="DL826">
        <v>0</v>
      </c>
      <c r="DM826">
        <v>0</v>
      </c>
      <c r="DN826">
        <v>0</v>
      </c>
      <c r="DO826">
        <v>0</v>
      </c>
      <c r="DP826">
        <v>1</v>
      </c>
      <c r="DQ826">
        <v>0</v>
      </c>
      <c r="DR826">
        <v>0</v>
      </c>
      <c r="DS826">
        <v>0</v>
      </c>
    </row>
    <row r="827" spans="1:123" x14ac:dyDescent="0.25">
      <c r="A827" t="str">
        <f>"11/29/2023 20:25:20.555"</f>
        <v>11/29/2023 20:25:20.555</v>
      </c>
      <c r="C827" t="str">
        <f t="shared" si="100"/>
        <v>FFDF53C0</v>
      </c>
      <c r="D827" t="s">
        <v>123</v>
      </c>
      <c r="E827">
        <v>14</v>
      </c>
      <c r="F827">
        <v>1014</v>
      </c>
      <c r="G827" t="s">
        <v>124</v>
      </c>
      <c r="J827" t="s">
        <v>125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"20:25:20.227"</f>
        <v>20:25:20.227</v>
      </c>
      <c r="T827" t="str">
        <f>"20:25:19.727"</f>
        <v>20:25:19.727</v>
      </c>
      <c r="U827" t="str">
        <f t="shared" si="97"/>
        <v>AA0632</v>
      </c>
      <c r="V827">
        <v>0</v>
      </c>
      <c r="W827">
        <v>0</v>
      </c>
      <c r="X827">
        <v>2</v>
      </c>
      <c r="Y827">
        <v>0</v>
      </c>
      <c r="AA827">
        <v>0</v>
      </c>
      <c r="AB827">
        <v>9</v>
      </c>
      <c r="AC827">
        <v>3</v>
      </c>
      <c r="AD827">
        <v>0</v>
      </c>
      <c r="AE827">
        <v>10</v>
      </c>
      <c r="AF827" t="s">
        <v>126</v>
      </c>
      <c r="AG827">
        <v>0</v>
      </c>
      <c r="AH827">
        <v>0</v>
      </c>
      <c r="AI827">
        <v>2</v>
      </c>
      <c r="AJ827">
        <v>0</v>
      </c>
      <c r="AK827" t="s">
        <v>534</v>
      </c>
      <c r="AL827">
        <v>31.922277999999999</v>
      </c>
      <c r="AM827" t="s">
        <v>549</v>
      </c>
      <c r="AN827">
        <v>-101.007743</v>
      </c>
      <c r="AQ827" t="s">
        <v>129</v>
      </c>
      <c r="AR827">
        <v>94</v>
      </c>
      <c r="AS827">
        <v>4</v>
      </c>
      <c r="AT827">
        <v>64</v>
      </c>
      <c r="BB827" t="str">
        <f t="shared" si="98"/>
        <v>1200</v>
      </c>
      <c r="BC827">
        <v>1</v>
      </c>
      <c r="BD827" t="str">
        <f t="shared" si="101"/>
        <v xml:space="preserve">N745MB  </v>
      </c>
      <c r="BE827">
        <v>1</v>
      </c>
      <c r="BG827">
        <v>0</v>
      </c>
      <c r="BH827">
        <v>0</v>
      </c>
      <c r="BI827">
        <v>0</v>
      </c>
      <c r="BL827" t="s">
        <v>130</v>
      </c>
      <c r="BM827">
        <v>1</v>
      </c>
      <c r="BN827">
        <v>0</v>
      </c>
      <c r="BO827">
        <v>0</v>
      </c>
      <c r="BP827">
        <v>0</v>
      </c>
      <c r="BT827">
        <v>0</v>
      </c>
      <c r="BU827">
        <v>0</v>
      </c>
      <c r="CE827" t="str">
        <f>"20:25:20.233"</f>
        <v>20:25:20.233</v>
      </c>
      <c r="CF827">
        <v>232870758</v>
      </c>
      <c r="CS827">
        <v>0</v>
      </c>
      <c r="CT827">
        <v>2</v>
      </c>
      <c r="CU827">
        <v>0</v>
      </c>
      <c r="CV827">
        <v>2</v>
      </c>
      <c r="CW827">
        <v>0</v>
      </c>
      <c r="CX827">
        <v>5</v>
      </c>
      <c r="CY827">
        <v>7</v>
      </c>
      <c r="CZ827" t="s">
        <v>131</v>
      </c>
      <c r="DA827">
        <v>116</v>
      </c>
      <c r="DB827">
        <v>0</v>
      </c>
      <c r="DC827" t="s">
        <v>132</v>
      </c>
      <c r="DD827" t="s">
        <v>133</v>
      </c>
      <c r="DG827">
        <v>14642191</v>
      </c>
      <c r="DI827">
        <v>0</v>
      </c>
      <c r="DJ827">
        <v>0</v>
      </c>
      <c r="DK827">
        <v>1</v>
      </c>
      <c r="DL827">
        <v>0</v>
      </c>
      <c r="DM827">
        <v>0</v>
      </c>
      <c r="DN827">
        <v>0</v>
      </c>
      <c r="DO827">
        <v>0</v>
      </c>
      <c r="DP827">
        <v>1</v>
      </c>
      <c r="DQ827">
        <v>0</v>
      </c>
      <c r="DR827">
        <v>0</v>
      </c>
      <c r="DS827">
        <v>0</v>
      </c>
    </row>
    <row r="828" spans="1:123" x14ac:dyDescent="0.25">
      <c r="A828" t="str">
        <f>"11/29/2023 20:25:21.836"</f>
        <v>11/29/2023 20:25:21.836</v>
      </c>
      <c r="C828" t="str">
        <f t="shared" si="100"/>
        <v>FFDF53C0</v>
      </c>
      <c r="D828" t="s">
        <v>135</v>
      </c>
      <c r="E828">
        <v>31</v>
      </c>
      <c r="H828">
        <v>285</v>
      </c>
      <c r="I828" t="s">
        <v>136</v>
      </c>
      <c r="J828" t="s">
        <v>137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"20:25:21.398"</f>
        <v>20:25:21.398</v>
      </c>
      <c r="T828" t="str">
        <f>"20:25:21.198"</f>
        <v>20:25:21.198</v>
      </c>
      <c r="U828" t="str">
        <f t="shared" si="97"/>
        <v>AA0632</v>
      </c>
      <c r="V828">
        <v>0</v>
      </c>
      <c r="W828">
        <v>0</v>
      </c>
      <c r="X828">
        <v>2</v>
      </c>
      <c r="Y828">
        <v>0</v>
      </c>
      <c r="AA828">
        <v>0</v>
      </c>
      <c r="AB828">
        <v>9</v>
      </c>
      <c r="AC828">
        <v>3</v>
      </c>
      <c r="AD828">
        <v>0</v>
      </c>
      <c r="AE828">
        <v>10</v>
      </c>
      <c r="AF828" t="s">
        <v>126</v>
      </c>
      <c r="AG828">
        <v>0</v>
      </c>
      <c r="AH828">
        <v>0</v>
      </c>
      <c r="AI828">
        <v>2</v>
      </c>
      <c r="AJ828">
        <v>0</v>
      </c>
      <c r="AK828" t="s">
        <v>550</v>
      </c>
      <c r="AL828">
        <v>31.922343000000001</v>
      </c>
      <c r="AM828" t="s">
        <v>551</v>
      </c>
      <c r="AN828">
        <v>-101.007099</v>
      </c>
      <c r="AQ828" t="s">
        <v>129</v>
      </c>
      <c r="AR828">
        <v>94</v>
      </c>
      <c r="AS828">
        <v>4</v>
      </c>
      <c r="AT828">
        <v>0</v>
      </c>
      <c r="BB828" t="str">
        <f t="shared" si="98"/>
        <v>1200</v>
      </c>
      <c r="BC828">
        <v>1</v>
      </c>
      <c r="BD828" t="str">
        <f t="shared" si="101"/>
        <v xml:space="preserve">N745MB  </v>
      </c>
      <c r="BE828">
        <v>1</v>
      </c>
      <c r="BG828">
        <v>0</v>
      </c>
      <c r="BH828">
        <v>0</v>
      </c>
      <c r="BI828">
        <v>0</v>
      </c>
      <c r="BL828" t="s">
        <v>130</v>
      </c>
      <c r="BM828">
        <v>1</v>
      </c>
      <c r="BN828">
        <v>0</v>
      </c>
      <c r="BO828">
        <v>0</v>
      </c>
      <c r="BP828">
        <v>0</v>
      </c>
      <c r="BT828">
        <v>0</v>
      </c>
      <c r="BU828">
        <v>0</v>
      </c>
      <c r="CE828" t="str">
        <f>"20:25:21.403"</f>
        <v>20:25:21.403</v>
      </c>
      <c r="CF828">
        <v>402794686</v>
      </c>
      <c r="CS828">
        <v>0</v>
      </c>
      <c r="CT828">
        <v>2</v>
      </c>
      <c r="CU828">
        <v>0</v>
      </c>
      <c r="CV828">
        <v>2</v>
      </c>
      <c r="CW828">
        <v>0</v>
      </c>
      <c r="CX828">
        <v>5</v>
      </c>
      <c r="CY828">
        <v>7</v>
      </c>
      <c r="CZ828" t="s">
        <v>131</v>
      </c>
      <c r="DA828">
        <v>116</v>
      </c>
      <c r="DB828">
        <v>3</v>
      </c>
      <c r="DC828" t="s">
        <v>132</v>
      </c>
      <c r="DD828" t="s">
        <v>133</v>
      </c>
      <c r="DG828">
        <v>8393105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1</v>
      </c>
      <c r="DQ828">
        <v>0</v>
      </c>
      <c r="DR828">
        <v>0</v>
      </c>
      <c r="DS828">
        <v>0</v>
      </c>
    </row>
    <row r="829" spans="1:123" x14ac:dyDescent="0.25">
      <c r="A829" t="str">
        <f>"11/29/2023 20:25:21.836"</f>
        <v>11/29/2023 20:25:21.836</v>
      </c>
      <c r="C829" t="str">
        <f t="shared" si="100"/>
        <v>FFDF53C0</v>
      </c>
      <c r="D829" t="s">
        <v>138</v>
      </c>
      <c r="E829">
        <v>3</v>
      </c>
      <c r="H829">
        <v>160</v>
      </c>
      <c r="I829" t="s">
        <v>124</v>
      </c>
      <c r="J829" t="s">
        <v>139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"20:25:21.398"</f>
        <v>20:25:21.398</v>
      </c>
      <c r="T829" t="str">
        <f>"20:25:21.198"</f>
        <v>20:25:21.198</v>
      </c>
      <c r="U829" t="str">
        <f t="shared" si="97"/>
        <v>AA0632</v>
      </c>
      <c r="V829">
        <v>0</v>
      </c>
      <c r="W829">
        <v>0</v>
      </c>
      <c r="X829">
        <v>2</v>
      </c>
      <c r="Y829">
        <v>0</v>
      </c>
      <c r="AA829">
        <v>0</v>
      </c>
      <c r="AB829">
        <v>9</v>
      </c>
      <c r="AC829">
        <v>3</v>
      </c>
      <c r="AD829">
        <v>0</v>
      </c>
      <c r="AE829">
        <v>10</v>
      </c>
      <c r="AF829" t="s">
        <v>126</v>
      </c>
      <c r="AG829">
        <v>0</v>
      </c>
      <c r="AH829">
        <v>0</v>
      </c>
      <c r="AI829">
        <v>2</v>
      </c>
      <c r="AJ829">
        <v>0</v>
      </c>
      <c r="AK829" t="s">
        <v>550</v>
      </c>
      <c r="AL829">
        <v>31.922343000000001</v>
      </c>
      <c r="AM829" t="s">
        <v>551</v>
      </c>
      <c r="AN829">
        <v>-101.007099</v>
      </c>
      <c r="AQ829" t="s">
        <v>129</v>
      </c>
      <c r="AR829">
        <v>94</v>
      </c>
      <c r="AS829">
        <v>4</v>
      </c>
      <c r="AT829">
        <v>0</v>
      </c>
      <c r="BB829" t="str">
        <f t="shared" si="98"/>
        <v>1200</v>
      </c>
      <c r="BC829">
        <v>1</v>
      </c>
      <c r="BD829" t="str">
        <f t="shared" si="101"/>
        <v xml:space="preserve">N745MB  </v>
      </c>
      <c r="BE829">
        <v>1</v>
      </c>
      <c r="BG829">
        <v>0</v>
      </c>
      <c r="BH829">
        <v>0</v>
      </c>
      <c r="BI829">
        <v>0</v>
      </c>
      <c r="BL829" t="s">
        <v>130</v>
      </c>
      <c r="BM829">
        <v>1</v>
      </c>
      <c r="BN829">
        <v>0</v>
      </c>
      <c r="BO829">
        <v>0</v>
      </c>
      <c r="BP829">
        <v>0</v>
      </c>
      <c r="BT829">
        <v>0</v>
      </c>
      <c r="BU829">
        <v>0</v>
      </c>
      <c r="CE829" t="str">
        <f>"20:25:21.403"</f>
        <v>20:25:21.403</v>
      </c>
      <c r="CF829">
        <v>402794686</v>
      </c>
      <c r="CS829">
        <v>0</v>
      </c>
      <c r="CT829">
        <v>2</v>
      </c>
      <c r="CU829">
        <v>0</v>
      </c>
      <c r="CV829">
        <v>2</v>
      </c>
      <c r="CW829">
        <v>0</v>
      </c>
      <c r="CX829">
        <v>5</v>
      </c>
      <c r="CY829">
        <v>7</v>
      </c>
      <c r="CZ829" t="s">
        <v>131</v>
      </c>
      <c r="DA829">
        <v>116</v>
      </c>
      <c r="DB829">
        <v>3</v>
      </c>
      <c r="DC829" t="s">
        <v>132</v>
      </c>
      <c r="DD829" t="s">
        <v>133</v>
      </c>
      <c r="DG829">
        <v>8393105</v>
      </c>
      <c r="DI829">
        <v>0</v>
      </c>
      <c r="DJ829">
        <v>0</v>
      </c>
      <c r="DK829">
        <v>1</v>
      </c>
      <c r="DL829">
        <v>0</v>
      </c>
      <c r="DM829">
        <v>0</v>
      </c>
      <c r="DN829">
        <v>0</v>
      </c>
      <c r="DO829">
        <v>0</v>
      </c>
      <c r="DP829">
        <v>1</v>
      </c>
      <c r="DQ829">
        <v>0</v>
      </c>
      <c r="DR829">
        <v>0</v>
      </c>
      <c r="DS829">
        <v>0</v>
      </c>
    </row>
    <row r="830" spans="1:123" x14ac:dyDescent="0.25">
      <c r="A830" t="str">
        <f>"11/29/2023 20:25:21.836"</f>
        <v>11/29/2023 20:25:21.836</v>
      </c>
      <c r="C830" t="str">
        <f t="shared" si="100"/>
        <v>FFDF53C0</v>
      </c>
      <c r="D830" t="s">
        <v>123</v>
      </c>
      <c r="E830">
        <v>1</v>
      </c>
      <c r="F830">
        <v>1001</v>
      </c>
      <c r="G830" t="s">
        <v>134</v>
      </c>
      <c r="J830" t="s">
        <v>125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"20:25:21.398"</f>
        <v>20:25:21.398</v>
      </c>
      <c r="T830" t="str">
        <f>"20:25:21.198"</f>
        <v>20:25:21.198</v>
      </c>
      <c r="U830" t="str">
        <f t="shared" si="97"/>
        <v>AA0632</v>
      </c>
      <c r="V830">
        <v>0</v>
      </c>
      <c r="W830">
        <v>0</v>
      </c>
      <c r="X830">
        <v>2</v>
      </c>
      <c r="Y830">
        <v>0</v>
      </c>
      <c r="AA830">
        <v>0</v>
      </c>
      <c r="AB830">
        <v>9</v>
      </c>
      <c r="AC830">
        <v>3</v>
      </c>
      <c r="AD830">
        <v>0</v>
      </c>
      <c r="AE830">
        <v>10</v>
      </c>
      <c r="AF830" t="s">
        <v>126</v>
      </c>
      <c r="AG830">
        <v>0</v>
      </c>
      <c r="AH830">
        <v>0</v>
      </c>
      <c r="AI830">
        <v>2</v>
      </c>
      <c r="AJ830">
        <v>0</v>
      </c>
      <c r="AK830" t="s">
        <v>550</v>
      </c>
      <c r="AL830">
        <v>31.922343000000001</v>
      </c>
      <c r="AM830" t="s">
        <v>551</v>
      </c>
      <c r="AN830">
        <v>-101.007099</v>
      </c>
      <c r="AQ830" t="s">
        <v>129</v>
      </c>
      <c r="AR830">
        <v>94</v>
      </c>
      <c r="AS830">
        <v>4</v>
      </c>
      <c r="AT830">
        <v>0</v>
      </c>
      <c r="BB830" t="str">
        <f t="shared" si="98"/>
        <v>1200</v>
      </c>
      <c r="BC830">
        <v>1</v>
      </c>
      <c r="BD830" t="str">
        <f t="shared" si="101"/>
        <v xml:space="preserve">N745MB  </v>
      </c>
      <c r="BE830">
        <v>1</v>
      </c>
      <c r="BG830">
        <v>0</v>
      </c>
      <c r="BH830">
        <v>0</v>
      </c>
      <c r="BI830">
        <v>0</v>
      </c>
      <c r="BL830" t="s">
        <v>130</v>
      </c>
      <c r="BM830">
        <v>1</v>
      </c>
      <c r="BN830">
        <v>0</v>
      </c>
      <c r="BO830">
        <v>0</v>
      </c>
      <c r="BP830">
        <v>0</v>
      </c>
      <c r="BT830">
        <v>0</v>
      </c>
      <c r="BU830">
        <v>0</v>
      </c>
      <c r="CE830" t="str">
        <f>"20:25:21.403"</f>
        <v>20:25:21.403</v>
      </c>
      <c r="CF830">
        <v>402794686</v>
      </c>
      <c r="CS830">
        <v>0</v>
      </c>
      <c r="CT830">
        <v>2</v>
      </c>
      <c r="CU830">
        <v>0</v>
      </c>
      <c r="CV830">
        <v>2</v>
      </c>
      <c r="CW830">
        <v>0</v>
      </c>
      <c r="CX830">
        <v>5</v>
      </c>
      <c r="CY830">
        <v>7</v>
      </c>
      <c r="CZ830" t="s">
        <v>131</v>
      </c>
      <c r="DA830">
        <v>116</v>
      </c>
      <c r="DB830">
        <v>3</v>
      </c>
      <c r="DC830" t="s">
        <v>132</v>
      </c>
      <c r="DD830" t="s">
        <v>133</v>
      </c>
      <c r="DG830">
        <v>8393105</v>
      </c>
      <c r="DI830">
        <v>0</v>
      </c>
      <c r="DJ830">
        <v>0</v>
      </c>
      <c r="DK830">
        <v>1</v>
      </c>
      <c r="DL830">
        <v>0</v>
      </c>
      <c r="DM830">
        <v>0</v>
      </c>
      <c r="DN830">
        <v>0</v>
      </c>
      <c r="DO830">
        <v>0</v>
      </c>
      <c r="DP830">
        <v>1</v>
      </c>
      <c r="DQ830">
        <v>0</v>
      </c>
      <c r="DR830">
        <v>0</v>
      </c>
      <c r="DS830">
        <v>0</v>
      </c>
    </row>
    <row r="831" spans="1:123" x14ac:dyDescent="0.25">
      <c r="A831" t="str">
        <f>"11/29/2023 20:25:21.836"</f>
        <v>11/29/2023 20:25:21.836</v>
      </c>
      <c r="C831" t="str">
        <f t="shared" si="100"/>
        <v>FFDF53C0</v>
      </c>
      <c r="D831" t="s">
        <v>123</v>
      </c>
      <c r="E831">
        <v>14</v>
      </c>
      <c r="F831">
        <v>1014</v>
      </c>
      <c r="G831" t="s">
        <v>124</v>
      </c>
      <c r="J831" t="s">
        <v>125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"20:25:21.398"</f>
        <v>20:25:21.398</v>
      </c>
      <c r="T831" t="str">
        <f>"20:25:21.198"</f>
        <v>20:25:21.198</v>
      </c>
      <c r="U831" t="str">
        <f t="shared" si="97"/>
        <v>AA0632</v>
      </c>
      <c r="V831">
        <v>0</v>
      </c>
      <c r="W831">
        <v>0</v>
      </c>
      <c r="X831">
        <v>2</v>
      </c>
      <c r="Y831">
        <v>0</v>
      </c>
      <c r="AA831">
        <v>0</v>
      </c>
      <c r="AB831">
        <v>9</v>
      </c>
      <c r="AC831">
        <v>3</v>
      </c>
      <c r="AD831">
        <v>0</v>
      </c>
      <c r="AE831">
        <v>10</v>
      </c>
      <c r="AF831" t="s">
        <v>126</v>
      </c>
      <c r="AG831">
        <v>0</v>
      </c>
      <c r="AH831">
        <v>0</v>
      </c>
      <c r="AI831">
        <v>2</v>
      </c>
      <c r="AJ831">
        <v>0</v>
      </c>
      <c r="AK831" t="s">
        <v>550</v>
      </c>
      <c r="AL831">
        <v>31.922343000000001</v>
      </c>
      <c r="AM831" t="s">
        <v>551</v>
      </c>
      <c r="AN831">
        <v>-101.007099</v>
      </c>
      <c r="AQ831" t="s">
        <v>129</v>
      </c>
      <c r="AR831">
        <v>94</v>
      </c>
      <c r="AS831">
        <v>4</v>
      </c>
      <c r="AT831">
        <v>0</v>
      </c>
      <c r="BB831" t="str">
        <f t="shared" si="98"/>
        <v>1200</v>
      </c>
      <c r="BC831">
        <v>1</v>
      </c>
      <c r="BD831" t="str">
        <f t="shared" si="101"/>
        <v xml:space="preserve">N745MB  </v>
      </c>
      <c r="BE831">
        <v>1</v>
      </c>
      <c r="BG831">
        <v>0</v>
      </c>
      <c r="BH831">
        <v>0</v>
      </c>
      <c r="BI831">
        <v>0</v>
      </c>
      <c r="BL831" t="s">
        <v>130</v>
      </c>
      <c r="BM831">
        <v>1</v>
      </c>
      <c r="BN831">
        <v>0</v>
      </c>
      <c r="BO831">
        <v>0</v>
      </c>
      <c r="BP831">
        <v>0</v>
      </c>
      <c r="BT831">
        <v>0</v>
      </c>
      <c r="BU831">
        <v>0</v>
      </c>
      <c r="CE831" t="str">
        <f>"20:25:21.403"</f>
        <v>20:25:21.403</v>
      </c>
      <c r="CF831">
        <v>402794686</v>
      </c>
      <c r="CS831">
        <v>0</v>
      </c>
      <c r="CT831">
        <v>2</v>
      </c>
      <c r="CU831">
        <v>0</v>
      </c>
      <c r="CV831">
        <v>2</v>
      </c>
      <c r="CW831">
        <v>0</v>
      </c>
      <c r="CX831">
        <v>5</v>
      </c>
      <c r="CY831">
        <v>7</v>
      </c>
      <c r="CZ831" t="s">
        <v>131</v>
      </c>
      <c r="DA831">
        <v>116</v>
      </c>
      <c r="DB831">
        <v>3</v>
      </c>
      <c r="DC831" t="s">
        <v>132</v>
      </c>
      <c r="DD831" t="s">
        <v>133</v>
      </c>
      <c r="DG831">
        <v>8393105</v>
      </c>
      <c r="DI831">
        <v>0</v>
      </c>
      <c r="DJ831">
        <v>0</v>
      </c>
      <c r="DK831">
        <v>1</v>
      </c>
      <c r="DL831">
        <v>0</v>
      </c>
      <c r="DM831">
        <v>0</v>
      </c>
      <c r="DN831">
        <v>0</v>
      </c>
      <c r="DO831">
        <v>0</v>
      </c>
      <c r="DP831">
        <v>1</v>
      </c>
      <c r="DQ831">
        <v>0</v>
      </c>
      <c r="DR831">
        <v>0</v>
      </c>
      <c r="DS831">
        <v>0</v>
      </c>
    </row>
    <row r="832" spans="1:123" x14ac:dyDescent="0.25">
      <c r="A832" t="str">
        <f>"11/29/2023 20:25:23.133"</f>
        <v>11/29/2023 20:25:23.133</v>
      </c>
      <c r="C832" t="str">
        <f t="shared" si="100"/>
        <v>FFDF53C0</v>
      </c>
      <c r="D832" t="s">
        <v>135</v>
      </c>
      <c r="E832">
        <v>31</v>
      </c>
      <c r="H832">
        <v>285</v>
      </c>
      <c r="I832" t="s">
        <v>136</v>
      </c>
      <c r="J832" t="s">
        <v>137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"20:25:22.859"</f>
        <v>20:25:22.859</v>
      </c>
      <c r="T832" t="str">
        <f>"20:25:22.759"</f>
        <v>20:25:22.759</v>
      </c>
      <c r="U832" t="str">
        <f t="shared" si="97"/>
        <v>AA0632</v>
      </c>
      <c r="V832">
        <v>0</v>
      </c>
      <c r="W832">
        <v>0</v>
      </c>
      <c r="X832">
        <v>2</v>
      </c>
      <c r="Y832">
        <v>0</v>
      </c>
      <c r="AA832">
        <v>0</v>
      </c>
      <c r="AB832">
        <v>9</v>
      </c>
      <c r="AC832">
        <v>3</v>
      </c>
      <c r="AD832">
        <v>0</v>
      </c>
      <c r="AE832">
        <v>10</v>
      </c>
      <c r="AF832" t="s">
        <v>126</v>
      </c>
      <c r="AG832">
        <v>0</v>
      </c>
      <c r="AH832">
        <v>0</v>
      </c>
      <c r="AI832">
        <v>2</v>
      </c>
      <c r="AJ832">
        <v>0</v>
      </c>
      <c r="AK832" t="s">
        <v>550</v>
      </c>
      <c r="AL832">
        <v>31.922343000000001</v>
      </c>
      <c r="AM832" t="s">
        <v>552</v>
      </c>
      <c r="AN832">
        <v>-101.00637</v>
      </c>
      <c r="AQ832" t="s">
        <v>129</v>
      </c>
      <c r="AR832">
        <v>95</v>
      </c>
      <c r="AS832">
        <v>5</v>
      </c>
      <c r="AT832">
        <v>-128</v>
      </c>
      <c r="BB832" t="str">
        <f t="shared" si="98"/>
        <v>1200</v>
      </c>
      <c r="BC832">
        <v>1</v>
      </c>
      <c r="BD832" t="str">
        <f t="shared" si="101"/>
        <v xml:space="preserve">N745MB  </v>
      </c>
      <c r="BE832">
        <v>1</v>
      </c>
      <c r="BG832">
        <v>0</v>
      </c>
      <c r="BH832">
        <v>0</v>
      </c>
      <c r="BI832">
        <v>0</v>
      </c>
      <c r="BL832" t="s">
        <v>130</v>
      </c>
      <c r="BM832">
        <v>1</v>
      </c>
      <c r="BN832">
        <v>0</v>
      </c>
      <c r="BO832">
        <v>0</v>
      </c>
      <c r="BP832">
        <v>0</v>
      </c>
      <c r="BT832">
        <v>0</v>
      </c>
      <c r="BU832">
        <v>0</v>
      </c>
      <c r="CE832" t="str">
        <f>"20:25:22.865"</f>
        <v>20:25:22.865</v>
      </c>
      <c r="CF832">
        <v>864692503</v>
      </c>
      <c r="CS832">
        <v>0</v>
      </c>
      <c r="CT832">
        <v>2</v>
      </c>
      <c r="CU832">
        <v>0</v>
      </c>
      <c r="CV832">
        <v>2</v>
      </c>
      <c r="CW832">
        <v>0</v>
      </c>
      <c r="CX832">
        <v>5</v>
      </c>
      <c r="CY832">
        <v>7</v>
      </c>
      <c r="CZ832" t="s">
        <v>131</v>
      </c>
      <c r="DA832">
        <v>116</v>
      </c>
      <c r="DB832">
        <v>0</v>
      </c>
      <c r="DC832" t="s">
        <v>132</v>
      </c>
      <c r="DD832" t="s">
        <v>133</v>
      </c>
      <c r="DG832">
        <v>14644314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1</v>
      </c>
      <c r="DQ832">
        <v>0</v>
      </c>
      <c r="DR832">
        <v>0</v>
      </c>
      <c r="DS832">
        <v>0</v>
      </c>
    </row>
    <row r="833" spans="1:123" x14ac:dyDescent="0.25">
      <c r="A833" t="str">
        <f>"11/29/2023 20:25:23.133"</f>
        <v>11/29/2023 20:25:23.133</v>
      </c>
      <c r="C833" t="str">
        <f t="shared" si="100"/>
        <v>FFDF53C0</v>
      </c>
      <c r="D833" t="s">
        <v>164</v>
      </c>
      <c r="E833">
        <v>24</v>
      </c>
      <c r="F833">
        <v>2024</v>
      </c>
      <c r="G833" t="s">
        <v>165</v>
      </c>
      <c r="J833" t="s">
        <v>166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"20:25:22.859"</f>
        <v>20:25:22.859</v>
      </c>
      <c r="T833" t="str">
        <f>"20:25:22.759"</f>
        <v>20:25:22.759</v>
      </c>
      <c r="U833" t="str">
        <f t="shared" si="97"/>
        <v>AA0632</v>
      </c>
      <c r="V833">
        <v>0</v>
      </c>
      <c r="W833">
        <v>0</v>
      </c>
      <c r="X833">
        <v>2</v>
      </c>
      <c r="Y833">
        <v>0</v>
      </c>
      <c r="AA833">
        <v>0</v>
      </c>
      <c r="AB833">
        <v>9</v>
      </c>
      <c r="AC833">
        <v>3</v>
      </c>
      <c r="AD833">
        <v>0</v>
      </c>
      <c r="AE833">
        <v>10</v>
      </c>
      <c r="AF833" t="s">
        <v>126</v>
      </c>
      <c r="AG833">
        <v>0</v>
      </c>
      <c r="AH833">
        <v>0</v>
      </c>
      <c r="AI833">
        <v>2</v>
      </c>
      <c r="AJ833">
        <v>0</v>
      </c>
      <c r="AK833" t="s">
        <v>550</v>
      </c>
      <c r="AL833">
        <v>31.922343000000001</v>
      </c>
      <c r="AM833" t="s">
        <v>552</v>
      </c>
      <c r="AN833">
        <v>-101.00637</v>
      </c>
      <c r="AQ833" t="s">
        <v>129</v>
      </c>
      <c r="AR833">
        <v>95</v>
      </c>
      <c r="AS833">
        <v>5</v>
      </c>
      <c r="AT833">
        <v>-128</v>
      </c>
      <c r="BB833" t="str">
        <f t="shared" si="98"/>
        <v>1200</v>
      </c>
      <c r="BC833">
        <v>1</v>
      </c>
      <c r="BD833" t="str">
        <f t="shared" si="101"/>
        <v xml:space="preserve">N745MB  </v>
      </c>
      <c r="BE833">
        <v>1</v>
      </c>
      <c r="BG833">
        <v>0</v>
      </c>
      <c r="BH833">
        <v>0</v>
      </c>
      <c r="BI833">
        <v>0</v>
      </c>
      <c r="BL833" t="s">
        <v>130</v>
      </c>
      <c r="BM833">
        <v>1</v>
      </c>
      <c r="BN833">
        <v>0</v>
      </c>
      <c r="BO833">
        <v>0</v>
      </c>
      <c r="BP833">
        <v>0</v>
      </c>
      <c r="BT833">
        <v>0</v>
      </c>
      <c r="BU833">
        <v>0</v>
      </c>
      <c r="CE833" t="str">
        <f>"20:25:22.865"</f>
        <v>20:25:22.865</v>
      </c>
      <c r="CF833">
        <v>864703517</v>
      </c>
      <c r="CS833">
        <v>0</v>
      </c>
      <c r="CT833">
        <v>2</v>
      </c>
      <c r="CU833">
        <v>0</v>
      </c>
      <c r="CV833">
        <v>2</v>
      </c>
      <c r="CW833">
        <v>0</v>
      </c>
      <c r="CX833">
        <v>2</v>
      </c>
      <c r="CY833">
        <v>7</v>
      </c>
      <c r="CZ833" t="s">
        <v>131</v>
      </c>
      <c r="DA833">
        <v>483</v>
      </c>
      <c r="DB833">
        <v>1</v>
      </c>
      <c r="DC833" t="s">
        <v>169</v>
      </c>
      <c r="DD833" t="s">
        <v>170</v>
      </c>
      <c r="DG833">
        <v>7371550</v>
      </c>
      <c r="DI833">
        <v>0</v>
      </c>
      <c r="DJ833">
        <v>0</v>
      </c>
      <c r="DK833">
        <v>1</v>
      </c>
      <c r="DL833">
        <v>0</v>
      </c>
      <c r="DM833">
        <v>0</v>
      </c>
      <c r="DN833">
        <v>0</v>
      </c>
      <c r="DO833">
        <v>0</v>
      </c>
      <c r="DP833">
        <v>1</v>
      </c>
      <c r="DQ833">
        <v>0</v>
      </c>
      <c r="DR833">
        <v>0</v>
      </c>
      <c r="DS833">
        <v>0</v>
      </c>
    </row>
    <row r="834" spans="1:123" x14ac:dyDescent="0.25">
      <c r="A834" t="str">
        <f>"11/29/2023 20:25:23.133"</f>
        <v>11/29/2023 20:25:23.133</v>
      </c>
      <c r="C834" t="str">
        <f t="shared" si="100"/>
        <v>FFDF53C0</v>
      </c>
      <c r="D834" t="s">
        <v>138</v>
      </c>
      <c r="E834">
        <v>3</v>
      </c>
      <c r="H834">
        <v>160</v>
      </c>
      <c r="I834" t="s">
        <v>124</v>
      </c>
      <c r="J834" t="s">
        <v>139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"20:25:22.859"</f>
        <v>20:25:22.859</v>
      </c>
      <c r="T834" t="str">
        <f>"20:25:22.759"</f>
        <v>20:25:22.759</v>
      </c>
      <c r="U834" t="str">
        <f t="shared" ref="U834:U897" si="102">"AA0632"</f>
        <v>AA0632</v>
      </c>
      <c r="V834">
        <v>0</v>
      </c>
      <c r="W834">
        <v>0</v>
      </c>
      <c r="X834">
        <v>2</v>
      </c>
      <c r="Y834">
        <v>0</v>
      </c>
      <c r="AA834">
        <v>0</v>
      </c>
      <c r="AB834">
        <v>9</v>
      </c>
      <c r="AC834">
        <v>3</v>
      </c>
      <c r="AD834">
        <v>0</v>
      </c>
      <c r="AE834">
        <v>10</v>
      </c>
      <c r="AF834" t="s">
        <v>126</v>
      </c>
      <c r="AG834">
        <v>0</v>
      </c>
      <c r="AH834">
        <v>0</v>
      </c>
      <c r="AI834">
        <v>2</v>
      </c>
      <c r="AJ834">
        <v>0</v>
      </c>
      <c r="AK834" t="s">
        <v>550</v>
      </c>
      <c r="AL834">
        <v>31.922343000000001</v>
      </c>
      <c r="AM834" t="s">
        <v>552</v>
      </c>
      <c r="AN834">
        <v>-101.00637</v>
      </c>
      <c r="AQ834" t="s">
        <v>129</v>
      </c>
      <c r="AR834">
        <v>95</v>
      </c>
      <c r="AS834">
        <v>5</v>
      </c>
      <c r="AT834">
        <v>-128</v>
      </c>
      <c r="BB834" t="str">
        <f t="shared" ref="BB834:BB897" si="103">"1200"</f>
        <v>1200</v>
      </c>
      <c r="BC834">
        <v>1</v>
      </c>
      <c r="BD834" t="str">
        <f t="shared" si="101"/>
        <v xml:space="preserve">N745MB  </v>
      </c>
      <c r="BE834">
        <v>1</v>
      </c>
      <c r="BG834">
        <v>0</v>
      </c>
      <c r="BH834">
        <v>0</v>
      </c>
      <c r="BI834">
        <v>0</v>
      </c>
      <c r="BL834" t="s">
        <v>130</v>
      </c>
      <c r="BM834">
        <v>1</v>
      </c>
      <c r="BN834">
        <v>0</v>
      </c>
      <c r="BO834">
        <v>0</v>
      </c>
      <c r="BP834">
        <v>0</v>
      </c>
      <c r="BT834">
        <v>0</v>
      </c>
      <c r="BU834">
        <v>0</v>
      </c>
      <c r="CE834" t="str">
        <f>"20:25:22.865"</f>
        <v>20:25:22.865</v>
      </c>
      <c r="CF834">
        <v>864692503</v>
      </c>
      <c r="CS834">
        <v>0</v>
      </c>
      <c r="CT834">
        <v>2</v>
      </c>
      <c r="CU834">
        <v>0</v>
      </c>
      <c r="CV834">
        <v>2</v>
      </c>
      <c r="CW834">
        <v>0</v>
      </c>
      <c r="CX834">
        <v>5</v>
      </c>
      <c r="CY834">
        <v>7</v>
      </c>
      <c r="CZ834" t="s">
        <v>131</v>
      </c>
      <c r="DA834">
        <v>116</v>
      </c>
      <c r="DB834">
        <v>0</v>
      </c>
      <c r="DC834" t="s">
        <v>132</v>
      </c>
      <c r="DD834" t="s">
        <v>133</v>
      </c>
      <c r="DG834">
        <v>14644314</v>
      </c>
      <c r="DI834">
        <v>0</v>
      </c>
      <c r="DJ834">
        <v>0</v>
      </c>
      <c r="DK834">
        <v>1</v>
      </c>
      <c r="DL834">
        <v>0</v>
      </c>
      <c r="DM834">
        <v>0</v>
      </c>
      <c r="DN834">
        <v>0</v>
      </c>
      <c r="DO834">
        <v>0</v>
      </c>
      <c r="DP834">
        <v>1</v>
      </c>
      <c r="DQ834">
        <v>0</v>
      </c>
      <c r="DR834">
        <v>0</v>
      </c>
      <c r="DS834">
        <v>0</v>
      </c>
    </row>
    <row r="835" spans="1:123" x14ac:dyDescent="0.25">
      <c r="A835" t="str">
        <f>"11/29/2023 20:25:23.196"</f>
        <v>11/29/2023 20:25:23.196</v>
      </c>
      <c r="C835" t="str">
        <f t="shared" si="100"/>
        <v>FFDF53C0</v>
      </c>
      <c r="D835" t="s">
        <v>123</v>
      </c>
      <c r="E835">
        <v>1</v>
      </c>
      <c r="F835">
        <v>1001</v>
      </c>
      <c r="G835" t="s">
        <v>134</v>
      </c>
      <c r="J835" t="s">
        <v>125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"20:25:22.859"</f>
        <v>20:25:22.859</v>
      </c>
      <c r="T835" t="str">
        <f>"20:25:22.759"</f>
        <v>20:25:22.759</v>
      </c>
      <c r="U835" t="str">
        <f t="shared" si="102"/>
        <v>AA0632</v>
      </c>
      <c r="V835">
        <v>0</v>
      </c>
      <c r="W835">
        <v>0</v>
      </c>
      <c r="X835">
        <v>2</v>
      </c>
      <c r="Y835">
        <v>0</v>
      </c>
      <c r="AA835">
        <v>0</v>
      </c>
      <c r="AB835">
        <v>9</v>
      </c>
      <c r="AC835">
        <v>3</v>
      </c>
      <c r="AD835">
        <v>0</v>
      </c>
      <c r="AE835">
        <v>10</v>
      </c>
      <c r="AF835" t="s">
        <v>126</v>
      </c>
      <c r="AG835">
        <v>0</v>
      </c>
      <c r="AH835">
        <v>0</v>
      </c>
      <c r="AI835">
        <v>2</v>
      </c>
      <c r="AJ835">
        <v>0</v>
      </c>
      <c r="AK835" t="s">
        <v>550</v>
      </c>
      <c r="AL835">
        <v>31.922343000000001</v>
      </c>
      <c r="AM835" t="s">
        <v>552</v>
      </c>
      <c r="AN835">
        <v>-101.00637</v>
      </c>
      <c r="AQ835" t="s">
        <v>129</v>
      </c>
      <c r="AR835">
        <v>95</v>
      </c>
      <c r="AS835">
        <v>5</v>
      </c>
      <c r="AT835">
        <v>-128</v>
      </c>
      <c r="BB835" t="str">
        <f t="shared" si="103"/>
        <v>1200</v>
      </c>
      <c r="BC835">
        <v>1</v>
      </c>
      <c r="BD835" t="str">
        <f t="shared" si="101"/>
        <v xml:space="preserve">N745MB  </v>
      </c>
      <c r="BE835">
        <v>1</v>
      </c>
      <c r="BG835">
        <v>0</v>
      </c>
      <c r="BH835">
        <v>0</v>
      </c>
      <c r="BI835">
        <v>0</v>
      </c>
      <c r="BL835" t="s">
        <v>130</v>
      </c>
      <c r="BM835">
        <v>1</v>
      </c>
      <c r="BN835">
        <v>0</v>
      </c>
      <c r="BO835">
        <v>0</v>
      </c>
      <c r="BP835">
        <v>0</v>
      </c>
      <c r="BT835">
        <v>0</v>
      </c>
      <c r="BU835">
        <v>0</v>
      </c>
      <c r="CE835" t="str">
        <f>"20:25:22.865"</f>
        <v>20:25:22.865</v>
      </c>
      <c r="CF835">
        <v>864692503</v>
      </c>
      <c r="CS835">
        <v>0</v>
      </c>
      <c r="CT835">
        <v>2</v>
      </c>
      <c r="CU835">
        <v>0</v>
      </c>
      <c r="CV835">
        <v>2</v>
      </c>
      <c r="CW835">
        <v>0</v>
      </c>
      <c r="CX835">
        <v>5</v>
      </c>
      <c r="CY835">
        <v>7</v>
      </c>
      <c r="CZ835" t="s">
        <v>131</v>
      </c>
      <c r="DA835">
        <v>116</v>
      </c>
      <c r="DB835">
        <v>0</v>
      </c>
      <c r="DC835" t="s">
        <v>132</v>
      </c>
      <c r="DD835" t="s">
        <v>133</v>
      </c>
      <c r="DG835">
        <v>14644314</v>
      </c>
      <c r="DI835">
        <v>0</v>
      </c>
      <c r="DJ835">
        <v>0</v>
      </c>
      <c r="DK835">
        <v>1</v>
      </c>
      <c r="DL835">
        <v>0</v>
      </c>
      <c r="DM835">
        <v>0</v>
      </c>
      <c r="DN835">
        <v>0</v>
      </c>
      <c r="DO835">
        <v>0</v>
      </c>
      <c r="DP835">
        <v>1</v>
      </c>
      <c r="DQ835">
        <v>0</v>
      </c>
      <c r="DR835">
        <v>0</v>
      </c>
      <c r="DS835">
        <v>0</v>
      </c>
    </row>
    <row r="836" spans="1:123" x14ac:dyDescent="0.25">
      <c r="A836" t="str">
        <f>"11/29/2023 20:25:23.196"</f>
        <v>11/29/2023 20:25:23.196</v>
      </c>
      <c r="C836" t="str">
        <f t="shared" si="100"/>
        <v>FFDF53C0</v>
      </c>
      <c r="D836" t="s">
        <v>123</v>
      </c>
      <c r="E836">
        <v>14</v>
      </c>
      <c r="F836">
        <v>1014</v>
      </c>
      <c r="G836" t="s">
        <v>124</v>
      </c>
      <c r="J836" t="s">
        <v>125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"20:25:22.859"</f>
        <v>20:25:22.859</v>
      </c>
      <c r="T836" t="str">
        <f>"20:25:22.759"</f>
        <v>20:25:22.759</v>
      </c>
      <c r="U836" t="str">
        <f t="shared" si="102"/>
        <v>AA0632</v>
      </c>
      <c r="V836">
        <v>0</v>
      </c>
      <c r="W836">
        <v>0</v>
      </c>
      <c r="X836">
        <v>2</v>
      </c>
      <c r="Y836">
        <v>0</v>
      </c>
      <c r="AA836">
        <v>0</v>
      </c>
      <c r="AB836">
        <v>9</v>
      </c>
      <c r="AC836">
        <v>3</v>
      </c>
      <c r="AD836">
        <v>0</v>
      </c>
      <c r="AE836">
        <v>10</v>
      </c>
      <c r="AF836" t="s">
        <v>126</v>
      </c>
      <c r="AG836">
        <v>0</v>
      </c>
      <c r="AH836">
        <v>0</v>
      </c>
      <c r="AI836">
        <v>2</v>
      </c>
      <c r="AJ836">
        <v>0</v>
      </c>
      <c r="AK836" t="s">
        <v>550</v>
      </c>
      <c r="AL836">
        <v>31.922343000000001</v>
      </c>
      <c r="AM836" t="s">
        <v>552</v>
      </c>
      <c r="AN836">
        <v>-101.00637</v>
      </c>
      <c r="AQ836" t="s">
        <v>129</v>
      </c>
      <c r="AR836">
        <v>95</v>
      </c>
      <c r="AS836">
        <v>5</v>
      </c>
      <c r="AT836">
        <v>-128</v>
      </c>
      <c r="BB836" t="str">
        <f t="shared" si="103"/>
        <v>1200</v>
      </c>
      <c r="BC836">
        <v>1</v>
      </c>
      <c r="BD836" t="str">
        <f t="shared" si="101"/>
        <v xml:space="preserve">N745MB  </v>
      </c>
      <c r="BE836">
        <v>1</v>
      </c>
      <c r="BG836">
        <v>0</v>
      </c>
      <c r="BH836">
        <v>0</v>
      </c>
      <c r="BI836">
        <v>0</v>
      </c>
      <c r="BL836" t="s">
        <v>130</v>
      </c>
      <c r="BM836">
        <v>1</v>
      </c>
      <c r="BN836">
        <v>0</v>
      </c>
      <c r="BO836">
        <v>0</v>
      </c>
      <c r="BP836">
        <v>0</v>
      </c>
      <c r="BT836">
        <v>0</v>
      </c>
      <c r="BU836">
        <v>0</v>
      </c>
      <c r="CE836" t="str">
        <f>"20:25:22.865"</f>
        <v>20:25:22.865</v>
      </c>
      <c r="CF836">
        <v>864692503</v>
      </c>
      <c r="CS836">
        <v>0</v>
      </c>
      <c r="CT836">
        <v>2</v>
      </c>
      <c r="CU836">
        <v>0</v>
      </c>
      <c r="CV836">
        <v>2</v>
      </c>
      <c r="CW836">
        <v>0</v>
      </c>
      <c r="CX836">
        <v>5</v>
      </c>
      <c r="CY836">
        <v>7</v>
      </c>
      <c r="CZ836" t="s">
        <v>131</v>
      </c>
      <c r="DA836">
        <v>116</v>
      </c>
      <c r="DB836">
        <v>0</v>
      </c>
      <c r="DC836" t="s">
        <v>132</v>
      </c>
      <c r="DD836" t="s">
        <v>133</v>
      </c>
      <c r="DG836">
        <v>14644314</v>
      </c>
      <c r="DI836">
        <v>0</v>
      </c>
      <c r="DJ836">
        <v>0</v>
      </c>
      <c r="DK836">
        <v>1</v>
      </c>
      <c r="DL836">
        <v>0</v>
      </c>
      <c r="DM836">
        <v>0</v>
      </c>
      <c r="DN836">
        <v>0</v>
      </c>
      <c r="DO836">
        <v>0</v>
      </c>
      <c r="DP836">
        <v>1</v>
      </c>
      <c r="DQ836">
        <v>0</v>
      </c>
      <c r="DR836">
        <v>0</v>
      </c>
      <c r="DS836">
        <v>0</v>
      </c>
    </row>
    <row r="837" spans="1:123" x14ac:dyDescent="0.25">
      <c r="A837" t="str">
        <f>"11/29/2023 20:25:24.696"</f>
        <v>11/29/2023 20:25:24.696</v>
      </c>
      <c r="C837" t="str">
        <f t="shared" si="100"/>
        <v>FFDF53C0</v>
      </c>
      <c r="D837" t="s">
        <v>135</v>
      </c>
      <c r="E837">
        <v>31</v>
      </c>
      <c r="H837">
        <v>285</v>
      </c>
      <c r="I837" t="s">
        <v>136</v>
      </c>
      <c r="J837" t="s">
        <v>137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"20:25:24.258"</f>
        <v>20:25:24.258</v>
      </c>
      <c r="T837" t="str">
        <f>"20:25:24.158"</f>
        <v>20:25:24.158</v>
      </c>
      <c r="U837" t="str">
        <f t="shared" si="102"/>
        <v>AA0632</v>
      </c>
      <c r="V837">
        <v>0</v>
      </c>
      <c r="W837">
        <v>0</v>
      </c>
      <c r="X837">
        <v>2</v>
      </c>
      <c r="Y837">
        <v>0</v>
      </c>
      <c r="AA837">
        <v>0</v>
      </c>
      <c r="AB837">
        <v>9</v>
      </c>
      <c r="AC837">
        <v>3</v>
      </c>
      <c r="AD837">
        <v>0</v>
      </c>
      <c r="AE837">
        <v>10</v>
      </c>
      <c r="AF837" t="s">
        <v>126</v>
      </c>
      <c r="AG837">
        <v>0</v>
      </c>
      <c r="AH837">
        <v>0</v>
      </c>
      <c r="AI837">
        <v>2</v>
      </c>
      <c r="AJ837">
        <v>0</v>
      </c>
      <c r="AK837" t="s">
        <v>553</v>
      </c>
      <c r="AL837">
        <v>31.922385999999999</v>
      </c>
      <c r="AM837" t="s">
        <v>554</v>
      </c>
      <c r="AN837">
        <v>-101.005661</v>
      </c>
      <c r="AQ837" t="s">
        <v>129</v>
      </c>
      <c r="AR837">
        <v>96</v>
      </c>
      <c r="AS837">
        <v>6</v>
      </c>
      <c r="AT837">
        <v>-256</v>
      </c>
      <c r="BB837" t="str">
        <f t="shared" si="103"/>
        <v>1200</v>
      </c>
      <c r="BC837">
        <v>1</v>
      </c>
      <c r="BD837" t="str">
        <f t="shared" si="101"/>
        <v xml:space="preserve">N745MB  </v>
      </c>
      <c r="BE837">
        <v>1</v>
      </c>
      <c r="BG837">
        <v>0</v>
      </c>
      <c r="BH837">
        <v>0</v>
      </c>
      <c r="BI837">
        <v>0</v>
      </c>
      <c r="BL837" t="s">
        <v>130</v>
      </c>
      <c r="BM837">
        <v>1</v>
      </c>
      <c r="BN837">
        <v>0</v>
      </c>
      <c r="BO837">
        <v>0</v>
      </c>
      <c r="BP837">
        <v>0</v>
      </c>
      <c r="BT837">
        <v>0</v>
      </c>
      <c r="BU837">
        <v>0</v>
      </c>
      <c r="CE837" t="str">
        <f>"20:25:24.259"</f>
        <v>20:25:24.259</v>
      </c>
      <c r="CF837">
        <v>258600925</v>
      </c>
      <c r="CS837">
        <v>0</v>
      </c>
      <c r="CT837">
        <v>2</v>
      </c>
      <c r="CU837">
        <v>0</v>
      </c>
      <c r="CV837">
        <v>2</v>
      </c>
      <c r="CW837">
        <v>0</v>
      </c>
      <c r="CX837">
        <v>5</v>
      </c>
      <c r="CY837">
        <v>7</v>
      </c>
      <c r="CZ837" t="s">
        <v>131</v>
      </c>
      <c r="DA837">
        <v>116</v>
      </c>
      <c r="DB837">
        <v>0</v>
      </c>
      <c r="DC837" t="s">
        <v>132</v>
      </c>
      <c r="DD837" t="s">
        <v>133</v>
      </c>
      <c r="DG837">
        <v>14645496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1</v>
      </c>
      <c r="DQ837">
        <v>0</v>
      </c>
      <c r="DR837">
        <v>0</v>
      </c>
      <c r="DS837">
        <v>0</v>
      </c>
    </row>
    <row r="838" spans="1:123" x14ac:dyDescent="0.25">
      <c r="A838" t="str">
        <f>"11/29/2023 20:25:24.696"</f>
        <v>11/29/2023 20:25:24.696</v>
      </c>
      <c r="C838" t="str">
        <f t="shared" si="100"/>
        <v>FFDF53C0</v>
      </c>
      <c r="D838" t="s">
        <v>138</v>
      </c>
      <c r="E838">
        <v>3</v>
      </c>
      <c r="H838">
        <v>160</v>
      </c>
      <c r="I838" t="s">
        <v>124</v>
      </c>
      <c r="J838" t="s">
        <v>139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"20:25:24.258"</f>
        <v>20:25:24.258</v>
      </c>
      <c r="T838" t="str">
        <f>"20:25:24.158"</f>
        <v>20:25:24.158</v>
      </c>
      <c r="U838" t="str">
        <f t="shared" si="102"/>
        <v>AA0632</v>
      </c>
      <c r="V838">
        <v>0</v>
      </c>
      <c r="W838">
        <v>0</v>
      </c>
      <c r="X838">
        <v>2</v>
      </c>
      <c r="Y838">
        <v>0</v>
      </c>
      <c r="AA838">
        <v>0</v>
      </c>
      <c r="AB838">
        <v>9</v>
      </c>
      <c r="AC838">
        <v>3</v>
      </c>
      <c r="AD838">
        <v>0</v>
      </c>
      <c r="AE838">
        <v>10</v>
      </c>
      <c r="AF838" t="s">
        <v>126</v>
      </c>
      <c r="AG838">
        <v>0</v>
      </c>
      <c r="AH838">
        <v>0</v>
      </c>
      <c r="AI838">
        <v>2</v>
      </c>
      <c r="AJ838">
        <v>0</v>
      </c>
      <c r="AK838" t="s">
        <v>553</v>
      </c>
      <c r="AL838">
        <v>31.922385999999999</v>
      </c>
      <c r="AM838" t="s">
        <v>554</v>
      </c>
      <c r="AN838">
        <v>-101.005661</v>
      </c>
      <c r="AQ838" t="s">
        <v>129</v>
      </c>
      <c r="AR838">
        <v>96</v>
      </c>
      <c r="AS838">
        <v>6</v>
      </c>
      <c r="AT838">
        <v>-256</v>
      </c>
      <c r="BB838" t="str">
        <f t="shared" si="103"/>
        <v>1200</v>
      </c>
      <c r="BC838">
        <v>1</v>
      </c>
      <c r="BD838" t="str">
        <f t="shared" si="101"/>
        <v xml:space="preserve">N745MB  </v>
      </c>
      <c r="BE838">
        <v>1</v>
      </c>
      <c r="BG838">
        <v>0</v>
      </c>
      <c r="BH838">
        <v>0</v>
      </c>
      <c r="BI838">
        <v>0</v>
      </c>
      <c r="BL838" t="s">
        <v>130</v>
      </c>
      <c r="BM838">
        <v>1</v>
      </c>
      <c r="BN838">
        <v>0</v>
      </c>
      <c r="BO838">
        <v>0</v>
      </c>
      <c r="BP838">
        <v>0</v>
      </c>
      <c r="BT838">
        <v>0</v>
      </c>
      <c r="BU838">
        <v>0</v>
      </c>
      <c r="CE838" t="str">
        <f>"20:25:24.259"</f>
        <v>20:25:24.259</v>
      </c>
      <c r="CF838">
        <v>258600925</v>
      </c>
      <c r="CS838">
        <v>0</v>
      </c>
      <c r="CT838">
        <v>2</v>
      </c>
      <c r="CU838">
        <v>0</v>
      </c>
      <c r="CV838">
        <v>2</v>
      </c>
      <c r="CW838">
        <v>0</v>
      </c>
      <c r="CX838">
        <v>5</v>
      </c>
      <c r="CY838">
        <v>7</v>
      </c>
      <c r="CZ838" t="s">
        <v>131</v>
      </c>
      <c r="DA838">
        <v>116</v>
      </c>
      <c r="DB838">
        <v>0</v>
      </c>
      <c r="DC838" t="s">
        <v>132</v>
      </c>
      <c r="DD838" t="s">
        <v>133</v>
      </c>
      <c r="DG838">
        <v>14645496</v>
      </c>
      <c r="DI838">
        <v>0</v>
      </c>
      <c r="DJ838">
        <v>0</v>
      </c>
      <c r="DK838">
        <v>1</v>
      </c>
      <c r="DL838">
        <v>0</v>
      </c>
      <c r="DM838">
        <v>0</v>
      </c>
      <c r="DN838">
        <v>0</v>
      </c>
      <c r="DO838">
        <v>0</v>
      </c>
      <c r="DP838">
        <v>1</v>
      </c>
      <c r="DQ838">
        <v>0</v>
      </c>
      <c r="DR838">
        <v>0</v>
      </c>
      <c r="DS838">
        <v>0</v>
      </c>
    </row>
    <row r="839" spans="1:123" x14ac:dyDescent="0.25">
      <c r="A839" t="str">
        <f>"11/29/2023 20:25:24.696"</f>
        <v>11/29/2023 20:25:24.696</v>
      </c>
      <c r="C839" t="str">
        <f t="shared" si="100"/>
        <v>FFDF53C0</v>
      </c>
      <c r="D839" t="s">
        <v>123</v>
      </c>
      <c r="E839">
        <v>1</v>
      </c>
      <c r="F839">
        <v>1001</v>
      </c>
      <c r="G839" t="s">
        <v>134</v>
      </c>
      <c r="J839" t="s">
        <v>125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"20:25:24.258"</f>
        <v>20:25:24.258</v>
      </c>
      <c r="T839" t="str">
        <f>"20:25:24.158"</f>
        <v>20:25:24.158</v>
      </c>
      <c r="U839" t="str">
        <f t="shared" si="102"/>
        <v>AA0632</v>
      </c>
      <c r="V839">
        <v>0</v>
      </c>
      <c r="W839">
        <v>0</v>
      </c>
      <c r="X839">
        <v>2</v>
      </c>
      <c r="Y839">
        <v>0</v>
      </c>
      <c r="AA839">
        <v>0</v>
      </c>
      <c r="AB839">
        <v>9</v>
      </c>
      <c r="AC839">
        <v>3</v>
      </c>
      <c r="AD839">
        <v>0</v>
      </c>
      <c r="AE839">
        <v>10</v>
      </c>
      <c r="AF839" t="s">
        <v>126</v>
      </c>
      <c r="AG839">
        <v>0</v>
      </c>
      <c r="AH839">
        <v>0</v>
      </c>
      <c r="AI839">
        <v>2</v>
      </c>
      <c r="AJ839">
        <v>0</v>
      </c>
      <c r="AK839" t="s">
        <v>553</v>
      </c>
      <c r="AL839">
        <v>31.922385999999999</v>
      </c>
      <c r="AM839" t="s">
        <v>554</v>
      </c>
      <c r="AN839">
        <v>-101.005661</v>
      </c>
      <c r="AQ839" t="s">
        <v>129</v>
      </c>
      <c r="AR839">
        <v>96</v>
      </c>
      <c r="AS839">
        <v>6</v>
      </c>
      <c r="AT839">
        <v>-256</v>
      </c>
      <c r="BB839" t="str">
        <f t="shared" si="103"/>
        <v>1200</v>
      </c>
      <c r="BC839">
        <v>1</v>
      </c>
      <c r="BD839" t="str">
        <f t="shared" si="101"/>
        <v xml:space="preserve">N745MB  </v>
      </c>
      <c r="BE839">
        <v>1</v>
      </c>
      <c r="BG839">
        <v>0</v>
      </c>
      <c r="BH839">
        <v>0</v>
      </c>
      <c r="BI839">
        <v>0</v>
      </c>
      <c r="BL839" t="s">
        <v>130</v>
      </c>
      <c r="BM839">
        <v>1</v>
      </c>
      <c r="BN839">
        <v>0</v>
      </c>
      <c r="BO839">
        <v>0</v>
      </c>
      <c r="BP839">
        <v>0</v>
      </c>
      <c r="BT839">
        <v>0</v>
      </c>
      <c r="BU839">
        <v>0</v>
      </c>
      <c r="CE839" t="str">
        <f>"20:25:24.259"</f>
        <v>20:25:24.259</v>
      </c>
      <c r="CF839">
        <v>258600925</v>
      </c>
      <c r="CS839">
        <v>0</v>
      </c>
      <c r="CT839">
        <v>2</v>
      </c>
      <c r="CU839">
        <v>0</v>
      </c>
      <c r="CV839">
        <v>2</v>
      </c>
      <c r="CW839">
        <v>0</v>
      </c>
      <c r="CX839">
        <v>5</v>
      </c>
      <c r="CY839">
        <v>7</v>
      </c>
      <c r="CZ839" t="s">
        <v>131</v>
      </c>
      <c r="DA839">
        <v>116</v>
      </c>
      <c r="DB839">
        <v>0</v>
      </c>
      <c r="DC839" t="s">
        <v>132</v>
      </c>
      <c r="DD839" t="s">
        <v>133</v>
      </c>
      <c r="DG839">
        <v>14645496</v>
      </c>
      <c r="DI839">
        <v>0</v>
      </c>
      <c r="DJ839">
        <v>0</v>
      </c>
      <c r="DK839">
        <v>1</v>
      </c>
      <c r="DL839">
        <v>0</v>
      </c>
      <c r="DM839">
        <v>0</v>
      </c>
      <c r="DN839">
        <v>0</v>
      </c>
      <c r="DO839">
        <v>0</v>
      </c>
      <c r="DP839">
        <v>1</v>
      </c>
      <c r="DQ839">
        <v>0</v>
      </c>
      <c r="DR839">
        <v>0</v>
      </c>
      <c r="DS839">
        <v>0</v>
      </c>
    </row>
    <row r="840" spans="1:123" x14ac:dyDescent="0.25">
      <c r="A840" t="str">
        <f>"11/29/2023 20:25:24.696"</f>
        <v>11/29/2023 20:25:24.696</v>
      </c>
      <c r="C840" t="str">
        <f t="shared" si="100"/>
        <v>FFDF53C0</v>
      </c>
      <c r="D840" t="s">
        <v>123</v>
      </c>
      <c r="E840">
        <v>14</v>
      </c>
      <c r="F840">
        <v>1014</v>
      </c>
      <c r="G840" t="s">
        <v>124</v>
      </c>
      <c r="J840" t="s">
        <v>125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"20:25:24.258"</f>
        <v>20:25:24.258</v>
      </c>
      <c r="T840" t="str">
        <f>"20:25:24.158"</f>
        <v>20:25:24.158</v>
      </c>
      <c r="U840" t="str">
        <f t="shared" si="102"/>
        <v>AA0632</v>
      </c>
      <c r="V840">
        <v>0</v>
      </c>
      <c r="W840">
        <v>0</v>
      </c>
      <c r="X840">
        <v>2</v>
      </c>
      <c r="Y840">
        <v>0</v>
      </c>
      <c r="AA840">
        <v>0</v>
      </c>
      <c r="AB840">
        <v>9</v>
      </c>
      <c r="AC840">
        <v>3</v>
      </c>
      <c r="AD840">
        <v>0</v>
      </c>
      <c r="AE840">
        <v>10</v>
      </c>
      <c r="AF840" t="s">
        <v>126</v>
      </c>
      <c r="AG840">
        <v>0</v>
      </c>
      <c r="AH840">
        <v>0</v>
      </c>
      <c r="AI840">
        <v>2</v>
      </c>
      <c r="AJ840">
        <v>0</v>
      </c>
      <c r="AK840" t="s">
        <v>553</v>
      </c>
      <c r="AL840">
        <v>31.922385999999999</v>
      </c>
      <c r="AM840" t="s">
        <v>554</v>
      </c>
      <c r="AN840">
        <v>-101.005661</v>
      </c>
      <c r="AQ840" t="s">
        <v>129</v>
      </c>
      <c r="AR840">
        <v>96</v>
      </c>
      <c r="AS840">
        <v>6</v>
      </c>
      <c r="AT840">
        <v>-256</v>
      </c>
      <c r="BB840" t="str">
        <f t="shared" si="103"/>
        <v>1200</v>
      </c>
      <c r="BC840">
        <v>1</v>
      </c>
      <c r="BD840" t="str">
        <f t="shared" si="101"/>
        <v xml:space="preserve">N745MB  </v>
      </c>
      <c r="BE840">
        <v>1</v>
      </c>
      <c r="BG840">
        <v>0</v>
      </c>
      <c r="BH840">
        <v>0</v>
      </c>
      <c r="BI840">
        <v>0</v>
      </c>
      <c r="BL840" t="s">
        <v>130</v>
      </c>
      <c r="BM840">
        <v>1</v>
      </c>
      <c r="BN840">
        <v>0</v>
      </c>
      <c r="BO840">
        <v>0</v>
      </c>
      <c r="BP840">
        <v>0</v>
      </c>
      <c r="BT840">
        <v>0</v>
      </c>
      <c r="BU840">
        <v>0</v>
      </c>
      <c r="CE840" t="str">
        <f>"20:25:24.259"</f>
        <v>20:25:24.259</v>
      </c>
      <c r="CF840">
        <v>258600925</v>
      </c>
      <c r="CS840">
        <v>0</v>
      </c>
      <c r="CT840">
        <v>2</v>
      </c>
      <c r="CU840">
        <v>0</v>
      </c>
      <c r="CV840">
        <v>2</v>
      </c>
      <c r="CW840">
        <v>0</v>
      </c>
      <c r="CX840">
        <v>5</v>
      </c>
      <c r="CY840">
        <v>7</v>
      </c>
      <c r="CZ840" t="s">
        <v>131</v>
      </c>
      <c r="DA840">
        <v>116</v>
      </c>
      <c r="DB840">
        <v>0</v>
      </c>
      <c r="DC840" t="s">
        <v>132</v>
      </c>
      <c r="DD840" t="s">
        <v>133</v>
      </c>
      <c r="DG840">
        <v>14645496</v>
      </c>
      <c r="DI840">
        <v>0</v>
      </c>
      <c r="DJ840">
        <v>0</v>
      </c>
      <c r="DK840">
        <v>1</v>
      </c>
      <c r="DL840">
        <v>0</v>
      </c>
      <c r="DM840">
        <v>0</v>
      </c>
      <c r="DN840">
        <v>0</v>
      </c>
      <c r="DO840">
        <v>0</v>
      </c>
      <c r="DP840">
        <v>1</v>
      </c>
      <c r="DQ840">
        <v>0</v>
      </c>
      <c r="DR840">
        <v>0</v>
      </c>
      <c r="DS840">
        <v>0</v>
      </c>
    </row>
    <row r="841" spans="1:123" x14ac:dyDescent="0.25">
      <c r="A841" t="str">
        <f>"11/29/2023 20:25:26.211"</f>
        <v>11/29/2023 20:25:26.211</v>
      </c>
      <c r="C841" t="str">
        <f t="shared" si="100"/>
        <v>FFDF53C0</v>
      </c>
      <c r="D841" t="s">
        <v>135</v>
      </c>
      <c r="E841">
        <v>31</v>
      </c>
      <c r="H841">
        <v>285</v>
      </c>
      <c r="I841" t="s">
        <v>136</v>
      </c>
      <c r="J841" t="s">
        <v>137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"20:25:25.805"</f>
        <v>20:25:25.805</v>
      </c>
      <c r="T841" t="str">
        <f>"20:25:25.705"</f>
        <v>20:25:25.705</v>
      </c>
      <c r="U841" t="str">
        <f t="shared" si="102"/>
        <v>AA0632</v>
      </c>
      <c r="V841">
        <v>0</v>
      </c>
      <c r="W841">
        <v>0</v>
      </c>
      <c r="X841">
        <v>2</v>
      </c>
      <c r="Y841">
        <v>0</v>
      </c>
      <c r="AA841">
        <v>0</v>
      </c>
      <c r="AB841">
        <v>9</v>
      </c>
      <c r="AC841">
        <v>3</v>
      </c>
      <c r="AD841">
        <v>0</v>
      </c>
      <c r="AE841">
        <v>10</v>
      </c>
      <c r="AF841" t="s">
        <v>126</v>
      </c>
      <c r="AG841">
        <v>0</v>
      </c>
      <c r="AH841">
        <v>0</v>
      </c>
      <c r="AI841">
        <v>2</v>
      </c>
      <c r="AJ841">
        <v>0</v>
      </c>
      <c r="AK841" t="s">
        <v>528</v>
      </c>
      <c r="AL841">
        <v>31.922429000000001</v>
      </c>
      <c r="AM841" t="s">
        <v>555</v>
      </c>
      <c r="AN841">
        <v>-101.004846</v>
      </c>
      <c r="AQ841" t="s">
        <v>129</v>
      </c>
      <c r="AR841">
        <v>98</v>
      </c>
      <c r="AS841">
        <v>8</v>
      </c>
      <c r="AT841">
        <v>-256</v>
      </c>
      <c r="BB841" t="str">
        <f t="shared" si="103"/>
        <v>1200</v>
      </c>
      <c r="BC841">
        <v>1</v>
      </c>
      <c r="BD841" t="str">
        <f t="shared" si="101"/>
        <v xml:space="preserve">N745MB  </v>
      </c>
      <c r="BE841">
        <v>1</v>
      </c>
      <c r="BG841">
        <v>0</v>
      </c>
      <c r="BH841">
        <v>0</v>
      </c>
      <c r="BI841">
        <v>0</v>
      </c>
      <c r="BL841" t="s">
        <v>130</v>
      </c>
      <c r="BM841">
        <v>1</v>
      </c>
      <c r="BN841">
        <v>0</v>
      </c>
      <c r="BO841">
        <v>0</v>
      </c>
      <c r="BP841">
        <v>0</v>
      </c>
      <c r="BT841">
        <v>0</v>
      </c>
      <c r="BU841">
        <v>0</v>
      </c>
      <c r="CE841" t="str">
        <f>"20:25:25.808"</f>
        <v>20:25:25.808</v>
      </c>
      <c r="CF841">
        <v>808497274</v>
      </c>
      <c r="CS841">
        <v>0</v>
      </c>
      <c r="CT841">
        <v>2</v>
      </c>
      <c r="CU841">
        <v>0</v>
      </c>
      <c r="CV841">
        <v>2</v>
      </c>
      <c r="CW841">
        <v>0</v>
      </c>
      <c r="CX841">
        <v>5</v>
      </c>
      <c r="CY841">
        <v>7</v>
      </c>
      <c r="CZ841" t="s">
        <v>131</v>
      </c>
      <c r="DA841">
        <v>116</v>
      </c>
      <c r="DB841">
        <v>3</v>
      </c>
      <c r="DC841" t="s">
        <v>132</v>
      </c>
      <c r="DD841" t="s">
        <v>133</v>
      </c>
      <c r="DG841">
        <v>8395459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1</v>
      </c>
      <c r="DQ841">
        <v>0</v>
      </c>
      <c r="DR841">
        <v>0</v>
      </c>
      <c r="DS841">
        <v>0</v>
      </c>
    </row>
    <row r="842" spans="1:123" x14ac:dyDescent="0.25">
      <c r="A842" t="str">
        <f>"11/29/2023 20:25:26.211"</f>
        <v>11/29/2023 20:25:26.211</v>
      </c>
      <c r="C842" t="str">
        <f t="shared" si="100"/>
        <v>FFDF53C0</v>
      </c>
      <c r="D842" t="s">
        <v>123</v>
      </c>
      <c r="E842">
        <v>1</v>
      </c>
      <c r="F842">
        <v>1001</v>
      </c>
      <c r="G842" t="s">
        <v>134</v>
      </c>
      <c r="J842" t="s">
        <v>125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"20:25:25.805"</f>
        <v>20:25:25.805</v>
      </c>
      <c r="T842" t="str">
        <f>"20:25:25.705"</f>
        <v>20:25:25.705</v>
      </c>
      <c r="U842" t="str">
        <f t="shared" si="102"/>
        <v>AA0632</v>
      </c>
      <c r="V842">
        <v>0</v>
      </c>
      <c r="W842">
        <v>0</v>
      </c>
      <c r="X842">
        <v>2</v>
      </c>
      <c r="Y842">
        <v>0</v>
      </c>
      <c r="AA842">
        <v>0</v>
      </c>
      <c r="AB842">
        <v>9</v>
      </c>
      <c r="AC842">
        <v>3</v>
      </c>
      <c r="AD842">
        <v>0</v>
      </c>
      <c r="AE842">
        <v>10</v>
      </c>
      <c r="AF842" t="s">
        <v>126</v>
      </c>
      <c r="AG842">
        <v>0</v>
      </c>
      <c r="AH842">
        <v>0</v>
      </c>
      <c r="AI842">
        <v>2</v>
      </c>
      <c r="AJ842">
        <v>0</v>
      </c>
      <c r="AK842" t="s">
        <v>528</v>
      </c>
      <c r="AL842">
        <v>31.922429000000001</v>
      </c>
      <c r="AM842" t="s">
        <v>555</v>
      </c>
      <c r="AN842">
        <v>-101.004846</v>
      </c>
      <c r="AQ842" t="s">
        <v>129</v>
      </c>
      <c r="AR842">
        <v>98</v>
      </c>
      <c r="AS842">
        <v>8</v>
      </c>
      <c r="AT842">
        <v>-256</v>
      </c>
      <c r="BB842" t="str">
        <f t="shared" si="103"/>
        <v>1200</v>
      </c>
      <c r="BC842">
        <v>1</v>
      </c>
      <c r="BD842" t="str">
        <f t="shared" si="101"/>
        <v xml:space="preserve">N745MB  </v>
      </c>
      <c r="BE842">
        <v>1</v>
      </c>
      <c r="BG842">
        <v>0</v>
      </c>
      <c r="BH842">
        <v>0</v>
      </c>
      <c r="BI842">
        <v>0</v>
      </c>
      <c r="BL842" t="s">
        <v>130</v>
      </c>
      <c r="BM842">
        <v>1</v>
      </c>
      <c r="BN842">
        <v>0</v>
      </c>
      <c r="BO842">
        <v>0</v>
      </c>
      <c r="BP842">
        <v>0</v>
      </c>
      <c r="BT842">
        <v>0</v>
      </c>
      <c r="BU842">
        <v>0</v>
      </c>
      <c r="CE842" t="str">
        <f>"20:25:25.808"</f>
        <v>20:25:25.808</v>
      </c>
      <c r="CF842">
        <v>808497274</v>
      </c>
      <c r="CS842">
        <v>0</v>
      </c>
      <c r="CT842">
        <v>2</v>
      </c>
      <c r="CU842">
        <v>0</v>
      </c>
      <c r="CV842">
        <v>2</v>
      </c>
      <c r="CW842">
        <v>0</v>
      </c>
      <c r="CX842">
        <v>5</v>
      </c>
      <c r="CY842">
        <v>7</v>
      </c>
      <c r="CZ842" t="s">
        <v>131</v>
      </c>
      <c r="DA842">
        <v>116</v>
      </c>
      <c r="DB842">
        <v>3</v>
      </c>
      <c r="DC842" t="s">
        <v>132</v>
      </c>
      <c r="DD842" t="s">
        <v>133</v>
      </c>
      <c r="DG842">
        <v>8395459</v>
      </c>
      <c r="DI842">
        <v>0</v>
      </c>
      <c r="DJ842">
        <v>0</v>
      </c>
      <c r="DK842">
        <v>1</v>
      </c>
      <c r="DL842">
        <v>0</v>
      </c>
      <c r="DM842">
        <v>0</v>
      </c>
      <c r="DN842">
        <v>0</v>
      </c>
      <c r="DO842">
        <v>0</v>
      </c>
      <c r="DP842">
        <v>1</v>
      </c>
      <c r="DQ842">
        <v>0</v>
      </c>
      <c r="DR842">
        <v>0</v>
      </c>
      <c r="DS842">
        <v>0</v>
      </c>
    </row>
    <row r="843" spans="1:123" x14ac:dyDescent="0.25">
      <c r="A843" t="str">
        <f>"11/29/2023 20:25:26.211"</f>
        <v>11/29/2023 20:25:26.211</v>
      </c>
      <c r="C843" t="str">
        <f t="shared" si="100"/>
        <v>FFDF53C0</v>
      </c>
      <c r="D843" t="s">
        <v>123</v>
      </c>
      <c r="E843">
        <v>14</v>
      </c>
      <c r="F843">
        <v>1014</v>
      </c>
      <c r="G843" t="s">
        <v>124</v>
      </c>
      <c r="J843" t="s">
        <v>125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"20:25:25.805"</f>
        <v>20:25:25.805</v>
      </c>
      <c r="T843" t="str">
        <f>"20:25:25.705"</f>
        <v>20:25:25.705</v>
      </c>
      <c r="U843" t="str">
        <f t="shared" si="102"/>
        <v>AA0632</v>
      </c>
      <c r="V843">
        <v>0</v>
      </c>
      <c r="W843">
        <v>0</v>
      </c>
      <c r="X843">
        <v>2</v>
      </c>
      <c r="Y843">
        <v>0</v>
      </c>
      <c r="AA843">
        <v>0</v>
      </c>
      <c r="AB843">
        <v>9</v>
      </c>
      <c r="AC843">
        <v>3</v>
      </c>
      <c r="AD843">
        <v>0</v>
      </c>
      <c r="AE843">
        <v>10</v>
      </c>
      <c r="AF843" t="s">
        <v>126</v>
      </c>
      <c r="AG843">
        <v>0</v>
      </c>
      <c r="AH843">
        <v>0</v>
      </c>
      <c r="AI843">
        <v>2</v>
      </c>
      <c r="AJ843">
        <v>0</v>
      </c>
      <c r="AK843" t="s">
        <v>528</v>
      </c>
      <c r="AL843">
        <v>31.922429000000001</v>
      </c>
      <c r="AM843" t="s">
        <v>555</v>
      </c>
      <c r="AN843">
        <v>-101.004846</v>
      </c>
      <c r="AQ843" t="s">
        <v>129</v>
      </c>
      <c r="AR843">
        <v>98</v>
      </c>
      <c r="AS843">
        <v>8</v>
      </c>
      <c r="AT843">
        <v>-256</v>
      </c>
      <c r="BB843" t="str">
        <f t="shared" si="103"/>
        <v>1200</v>
      </c>
      <c r="BC843">
        <v>1</v>
      </c>
      <c r="BD843" t="str">
        <f t="shared" si="101"/>
        <v xml:space="preserve">N745MB  </v>
      </c>
      <c r="BE843">
        <v>1</v>
      </c>
      <c r="BG843">
        <v>0</v>
      </c>
      <c r="BH843">
        <v>0</v>
      </c>
      <c r="BI843">
        <v>0</v>
      </c>
      <c r="BL843" t="s">
        <v>130</v>
      </c>
      <c r="BM843">
        <v>1</v>
      </c>
      <c r="BN843">
        <v>0</v>
      </c>
      <c r="BO843">
        <v>0</v>
      </c>
      <c r="BP843">
        <v>0</v>
      </c>
      <c r="BT843">
        <v>0</v>
      </c>
      <c r="BU843">
        <v>0</v>
      </c>
      <c r="CE843" t="str">
        <f>"20:25:25.808"</f>
        <v>20:25:25.808</v>
      </c>
      <c r="CF843">
        <v>808497274</v>
      </c>
      <c r="CS843">
        <v>0</v>
      </c>
      <c r="CT843">
        <v>2</v>
      </c>
      <c r="CU843">
        <v>0</v>
      </c>
      <c r="CV843">
        <v>2</v>
      </c>
      <c r="CW843">
        <v>0</v>
      </c>
      <c r="CX843">
        <v>5</v>
      </c>
      <c r="CY843">
        <v>7</v>
      </c>
      <c r="CZ843" t="s">
        <v>131</v>
      </c>
      <c r="DA843">
        <v>116</v>
      </c>
      <c r="DB843">
        <v>3</v>
      </c>
      <c r="DC843" t="s">
        <v>132</v>
      </c>
      <c r="DD843" t="s">
        <v>133</v>
      </c>
      <c r="DG843">
        <v>8395459</v>
      </c>
      <c r="DI843">
        <v>0</v>
      </c>
      <c r="DJ843">
        <v>0</v>
      </c>
      <c r="DK843">
        <v>1</v>
      </c>
      <c r="DL843">
        <v>0</v>
      </c>
      <c r="DM843">
        <v>0</v>
      </c>
      <c r="DN843">
        <v>0</v>
      </c>
      <c r="DO843">
        <v>0</v>
      </c>
      <c r="DP843">
        <v>1</v>
      </c>
      <c r="DQ843">
        <v>0</v>
      </c>
      <c r="DR843">
        <v>0</v>
      </c>
      <c r="DS843">
        <v>0</v>
      </c>
    </row>
    <row r="844" spans="1:123" x14ac:dyDescent="0.25">
      <c r="A844" t="str">
        <f>"11/29/2023 20:25:26.211"</f>
        <v>11/29/2023 20:25:26.211</v>
      </c>
      <c r="C844" t="str">
        <f t="shared" si="100"/>
        <v>FFDF53C0</v>
      </c>
      <c r="D844" t="s">
        <v>138</v>
      </c>
      <c r="E844">
        <v>3</v>
      </c>
      <c r="H844">
        <v>160</v>
      </c>
      <c r="I844" t="s">
        <v>124</v>
      </c>
      <c r="J844" t="s">
        <v>139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"20:25:25.805"</f>
        <v>20:25:25.805</v>
      </c>
      <c r="T844" t="str">
        <f>"20:25:25.705"</f>
        <v>20:25:25.705</v>
      </c>
      <c r="U844" t="str">
        <f t="shared" si="102"/>
        <v>AA0632</v>
      </c>
      <c r="V844">
        <v>0</v>
      </c>
      <c r="W844">
        <v>0</v>
      </c>
      <c r="X844">
        <v>2</v>
      </c>
      <c r="Y844">
        <v>0</v>
      </c>
      <c r="AA844">
        <v>0</v>
      </c>
      <c r="AB844">
        <v>9</v>
      </c>
      <c r="AC844">
        <v>3</v>
      </c>
      <c r="AD844">
        <v>0</v>
      </c>
      <c r="AE844">
        <v>10</v>
      </c>
      <c r="AF844" t="s">
        <v>126</v>
      </c>
      <c r="AG844">
        <v>0</v>
      </c>
      <c r="AH844">
        <v>0</v>
      </c>
      <c r="AI844">
        <v>2</v>
      </c>
      <c r="AJ844">
        <v>0</v>
      </c>
      <c r="AK844" t="s">
        <v>528</v>
      </c>
      <c r="AL844">
        <v>31.922429000000001</v>
      </c>
      <c r="AM844" t="s">
        <v>555</v>
      </c>
      <c r="AN844">
        <v>-101.004846</v>
      </c>
      <c r="AQ844" t="s">
        <v>129</v>
      </c>
      <c r="AR844">
        <v>98</v>
      </c>
      <c r="AS844">
        <v>8</v>
      </c>
      <c r="AT844">
        <v>-256</v>
      </c>
      <c r="BB844" t="str">
        <f t="shared" si="103"/>
        <v>1200</v>
      </c>
      <c r="BC844">
        <v>1</v>
      </c>
      <c r="BD844" t="str">
        <f t="shared" si="101"/>
        <v xml:space="preserve">N745MB  </v>
      </c>
      <c r="BE844">
        <v>1</v>
      </c>
      <c r="BG844">
        <v>0</v>
      </c>
      <c r="BH844">
        <v>0</v>
      </c>
      <c r="BI844">
        <v>0</v>
      </c>
      <c r="BL844" t="s">
        <v>130</v>
      </c>
      <c r="BM844">
        <v>1</v>
      </c>
      <c r="BN844">
        <v>0</v>
      </c>
      <c r="BO844">
        <v>0</v>
      </c>
      <c r="BP844">
        <v>0</v>
      </c>
      <c r="BT844">
        <v>0</v>
      </c>
      <c r="BU844">
        <v>0</v>
      </c>
      <c r="CE844" t="str">
        <f>"20:25:25.808"</f>
        <v>20:25:25.808</v>
      </c>
      <c r="CF844">
        <v>808497274</v>
      </c>
      <c r="CS844">
        <v>0</v>
      </c>
      <c r="CT844">
        <v>2</v>
      </c>
      <c r="CU844">
        <v>0</v>
      </c>
      <c r="CV844">
        <v>2</v>
      </c>
      <c r="CW844">
        <v>0</v>
      </c>
      <c r="CX844">
        <v>5</v>
      </c>
      <c r="CY844">
        <v>7</v>
      </c>
      <c r="CZ844" t="s">
        <v>131</v>
      </c>
      <c r="DA844">
        <v>116</v>
      </c>
      <c r="DB844">
        <v>3</v>
      </c>
      <c r="DC844" t="s">
        <v>132</v>
      </c>
      <c r="DD844" t="s">
        <v>133</v>
      </c>
      <c r="DG844">
        <v>8395459</v>
      </c>
      <c r="DI844">
        <v>0</v>
      </c>
      <c r="DJ844">
        <v>0</v>
      </c>
      <c r="DK844">
        <v>1</v>
      </c>
      <c r="DL844">
        <v>0</v>
      </c>
      <c r="DM844">
        <v>0</v>
      </c>
      <c r="DN844">
        <v>0</v>
      </c>
      <c r="DO844">
        <v>0</v>
      </c>
      <c r="DP844">
        <v>1</v>
      </c>
      <c r="DQ844">
        <v>0</v>
      </c>
      <c r="DR844">
        <v>0</v>
      </c>
      <c r="DS844">
        <v>0</v>
      </c>
    </row>
    <row r="845" spans="1:123" x14ac:dyDescent="0.25">
      <c r="A845" t="str">
        <f>"11/29/2023 20:25:27.477"</f>
        <v>11/29/2023 20:25:27.477</v>
      </c>
      <c r="C845" t="str">
        <f t="shared" si="100"/>
        <v>FFDF53C0</v>
      </c>
      <c r="D845" t="s">
        <v>135</v>
      </c>
      <c r="E845">
        <v>31</v>
      </c>
      <c r="H845">
        <v>285</v>
      </c>
      <c r="I845" t="s">
        <v>136</v>
      </c>
      <c r="J845" t="s">
        <v>137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"20:25:27.211"</f>
        <v>20:25:27.211</v>
      </c>
      <c r="T845" t="str">
        <f>"20:25:27.111"</f>
        <v>20:25:27.111</v>
      </c>
      <c r="U845" t="str">
        <f t="shared" si="102"/>
        <v>AA0632</v>
      </c>
      <c r="V845">
        <v>0</v>
      </c>
      <c r="W845">
        <v>0</v>
      </c>
      <c r="X845">
        <v>2</v>
      </c>
      <c r="Y845">
        <v>0</v>
      </c>
      <c r="AA845">
        <v>0</v>
      </c>
      <c r="AB845">
        <v>9</v>
      </c>
      <c r="AC845">
        <v>3</v>
      </c>
      <c r="AD845">
        <v>0</v>
      </c>
      <c r="AE845">
        <v>10</v>
      </c>
      <c r="AF845" t="s">
        <v>126</v>
      </c>
      <c r="AG845">
        <v>0</v>
      </c>
      <c r="AH845">
        <v>0</v>
      </c>
      <c r="AI845">
        <v>2</v>
      </c>
      <c r="AJ845">
        <v>0</v>
      </c>
      <c r="AK845" t="s">
        <v>556</v>
      </c>
      <c r="AL845">
        <v>31.922514</v>
      </c>
      <c r="AM845" t="s">
        <v>557</v>
      </c>
      <c r="AN845">
        <v>-101.004074</v>
      </c>
      <c r="AQ845" t="s">
        <v>129</v>
      </c>
      <c r="AR845">
        <v>99</v>
      </c>
      <c r="AS845">
        <v>10</v>
      </c>
      <c r="AT845">
        <v>-256</v>
      </c>
      <c r="BB845" t="str">
        <f t="shared" si="103"/>
        <v>1200</v>
      </c>
      <c r="BC845">
        <v>1</v>
      </c>
      <c r="BD845" t="str">
        <f t="shared" si="101"/>
        <v xml:space="preserve">N745MB  </v>
      </c>
      <c r="BE845">
        <v>1</v>
      </c>
      <c r="BG845">
        <v>0</v>
      </c>
      <c r="BH845">
        <v>0</v>
      </c>
      <c r="BI845">
        <v>0</v>
      </c>
      <c r="BL845" t="s">
        <v>130</v>
      </c>
      <c r="BM845">
        <v>1</v>
      </c>
      <c r="BN845">
        <v>0</v>
      </c>
      <c r="BO845">
        <v>0</v>
      </c>
      <c r="BP845">
        <v>0</v>
      </c>
      <c r="BT845">
        <v>0</v>
      </c>
      <c r="BU845">
        <v>0</v>
      </c>
      <c r="CE845" t="str">
        <f>"20:25:27.216"</f>
        <v>20:25:27.216</v>
      </c>
      <c r="CF845">
        <v>216402733</v>
      </c>
      <c r="CS845">
        <v>0</v>
      </c>
      <c r="CT845">
        <v>2</v>
      </c>
      <c r="CU845">
        <v>0</v>
      </c>
      <c r="CV845">
        <v>2</v>
      </c>
      <c r="CW845">
        <v>0</v>
      </c>
      <c r="CX845">
        <v>4</v>
      </c>
      <c r="CY845">
        <v>7</v>
      </c>
      <c r="CZ845" t="s">
        <v>131</v>
      </c>
      <c r="DA845">
        <v>116</v>
      </c>
      <c r="DB845">
        <v>0</v>
      </c>
      <c r="DC845" t="s">
        <v>132</v>
      </c>
      <c r="DD845" t="s">
        <v>133</v>
      </c>
      <c r="DG845">
        <v>14647852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1</v>
      </c>
      <c r="DQ845">
        <v>0</v>
      </c>
      <c r="DR845">
        <v>0</v>
      </c>
      <c r="DS845">
        <v>0</v>
      </c>
    </row>
    <row r="846" spans="1:123" x14ac:dyDescent="0.25">
      <c r="A846" t="str">
        <f>"11/29/2023 20:25:27.477"</f>
        <v>11/29/2023 20:25:27.477</v>
      </c>
      <c r="C846" t="str">
        <f t="shared" si="100"/>
        <v>FFDF53C0</v>
      </c>
      <c r="D846" t="s">
        <v>138</v>
      </c>
      <c r="E846">
        <v>3</v>
      </c>
      <c r="H846">
        <v>160</v>
      </c>
      <c r="I846" t="s">
        <v>124</v>
      </c>
      <c r="J846" t="s">
        <v>139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"20:25:27.211"</f>
        <v>20:25:27.211</v>
      </c>
      <c r="T846" t="str">
        <f>"20:25:27.111"</f>
        <v>20:25:27.111</v>
      </c>
      <c r="U846" t="str">
        <f t="shared" si="102"/>
        <v>AA0632</v>
      </c>
      <c r="V846">
        <v>0</v>
      </c>
      <c r="W846">
        <v>0</v>
      </c>
      <c r="X846">
        <v>2</v>
      </c>
      <c r="Y846">
        <v>0</v>
      </c>
      <c r="AA846">
        <v>0</v>
      </c>
      <c r="AB846">
        <v>9</v>
      </c>
      <c r="AC846">
        <v>3</v>
      </c>
      <c r="AD846">
        <v>0</v>
      </c>
      <c r="AE846">
        <v>10</v>
      </c>
      <c r="AF846" t="s">
        <v>126</v>
      </c>
      <c r="AG846">
        <v>0</v>
      </c>
      <c r="AH846">
        <v>0</v>
      </c>
      <c r="AI846">
        <v>2</v>
      </c>
      <c r="AJ846">
        <v>0</v>
      </c>
      <c r="AK846" t="s">
        <v>556</v>
      </c>
      <c r="AL846">
        <v>31.922514</v>
      </c>
      <c r="AM846" t="s">
        <v>557</v>
      </c>
      <c r="AN846">
        <v>-101.004074</v>
      </c>
      <c r="AQ846" t="s">
        <v>129</v>
      </c>
      <c r="AR846">
        <v>99</v>
      </c>
      <c r="AS846">
        <v>10</v>
      </c>
      <c r="AT846">
        <v>-256</v>
      </c>
      <c r="BB846" t="str">
        <f t="shared" si="103"/>
        <v>1200</v>
      </c>
      <c r="BC846">
        <v>1</v>
      </c>
      <c r="BD846" t="str">
        <f t="shared" si="101"/>
        <v xml:space="preserve">N745MB  </v>
      </c>
      <c r="BE846">
        <v>1</v>
      </c>
      <c r="BG846">
        <v>0</v>
      </c>
      <c r="BH846">
        <v>0</v>
      </c>
      <c r="BI846">
        <v>0</v>
      </c>
      <c r="BL846" t="s">
        <v>130</v>
      </c>
      <c r="BM846">
        <v>1</v>
      </c>
      <c r="BN846">
        <v>0</v>
      </c>
      <c r="BO846">
        <v>0</v>
      </c>
      <c r="BP846">
        <v>0</v>
      </c>
      <c r="BT846">
        <v>0</v>
      </c>
      <c r="BU846">
        <v>0</v>
      </c>
      <c r="CE846" t="str">
        <f>"20:25:27.216"</f>
        <v>20:25:27.216</v>
      </c>
      <c r="CF846">
        <v>216402733</v>
      </c>
      <c r="CS846">
        <v>0</v>
      </c>
      <c r="CT846">
        <v>2</v>
      </c>
      <c r="CU846">
        <v>0</v>
      </c>
      <c r="CV846">
        <v>2</v>
      </c>
      <c r="CW846">
        <v>0</v>
      </c>
      <c r="CX846">
        <v>4</v>
      </c>
      <c r="CY846">
        <v>7</v>
      </c>
      <c r="CZ846" t="s">
        <v>131</v>
      </c>
      <c r="DA846">
        <v>116</v>
      </c>
      <c r="DB846">
        <v>0</v>
      </c>
      <c r="DC846" t="s">
        <v>132</v>
      </c>
      <c r="DD846" t="s">
        <v>133</v>
      </c>
      <c r="DG846">
        <v>14647852</v>
      </c>
      <c r="DI846">
        <v>0</v>
      </c>
      <c r="DJ846">
        <v>0</v>
      </c>
      <c r="DK846">
        <v>1</v>
      </c>
      <c r="DL846">
        <v>0</v>
      </c>
      <c r="DM846">
        <v>0</v>
      </c>
      <c r="DN846">
        <v>0</v>
      </c>
      <c r="DO846">
        <v>0</v>
      </c>
      <c r="DP846">
        <v>1</v>
      </c>
      <c r="DQ846">
        <v>0</v>
      </c>
      <c r="DR846">
        <v>0</v>
      </c>
      <c r="DS846">
        <v>0</v>
      </c>
    </row>
    <row r="847" spans="1:123" x14ac:dyDescent="0.25">
      <c r="A847" t="str">
        <f>"11/29/2023 20:25:27.493"</f>
        <v>11/29/2023 20:25:27.493</v>
      </c>
      <c r="C847" t="str">
        <f t="shared" si="100"/>
        <v>FFDF53C0</v>
      </c>
      <c r="D847" t="s">
        <v>123</v>
      </c>
      <c r="E847">
        <v>1</v>
      </c>
      <c r="F847">
        <v>1001</v>
      </c>
      <c r="G847" t="s">
        <v>134</v>
      </c>
      <c r="J847" t="s">
        <v>125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"20:25:27.211"</f>
        <v>20:25:27.211</v>
      </c>
      <c r="T847" t="str">
        <f>"20:25:27.111"</f>
        <v>20:25:27.111</v>
      </c>
      <c r="U847" t="str">
        <f t="shared" si="102"/>
        <v>AA0632</v>
      </c>
      <c r="V847">
        <v>0</v>
      </c>
      <c r="W847">
        <v>0</v>
      </c>
      <c r="X847">
        <v>2</v>
      </c>
      <c r="Y847">
        <v>0</v>
      </c>
      <c r="AA847">
        <v>0</v>
      </c>
      <c r="AB847">
        <v>9</v>
      </c>
      <c r="AC847">
        <v>3</v>
      </c>
      <c r="AD847">
        <v>0</v>
      </c>
      <c r="AE847">
        <v>10</v>
      </c>
      <c r="AF847" t="s">
        <v>126</v>
      </c>
      <c r="AG847">
        <v>0</v>
      </c>
      <c r="AH847">
        <v>0</v>
      </c>
      <c r="AI847">
        <v>2</v>
      </c>
      <c r="AJ847">
        <v>0</v>
      </c>
      <c r="AK847" t="s">
        <v>556</v>
      </c>
      <c r="AL847">
        <v>31.922514</v>
      </c>
      <c r="AM847" t="s">
        <v>557</v>
      </c>
      <c r="AN847">
        <v>-101.004074</v>
      </c>
      <c r="AQ847" t="s">
        <v>129</v>
      </c>
      <c r="AR847">
        <v>99</v>
      </c>
      <c r="AS847">
        <v>10</v>
      </c>
      <c r="AT847">
        <v>-256</v>
      </c>
      <c r="BB847" t="str">
        <f t="shared" si="103"/>
        <v>1200</v>
      </c>
      <c r="BC847">
        <v>1</v>
      </c>
      <c r="BD847" t="str">
        <f t="shared" si="101"/>
        <v xml:space="preserve">N745MB  </v>
      </c>
      <c r="BE847">
        <v>1</v>
      </c>
      <c r="BG847">
        <v>0</v>
      </c>
      <c r="BH847">
        <v>0</v>
      </c>
      <c r="BI847">
        <v>0</v>
      </c>
      <c r="BL847" t="s">
        <v>130</v>
      </c>
      <c r="BM847">
        <v>1</v>
      </c>
      <c r="BN847">
        <v>0</v>
      </c>
      <c r="BO847">
        <v>0</v>
      </c>
      <c r="BP847">
        <v>0</v>
      </c>
      <c r="BT847">
        <v>0</v>
      </c>
      <c r="BU847">
        <v>0</v>
      </c>
      <c r="CE847" t="str">
        <f>"20:25:27.216"</f>
        <v>20:25:27.216</v>
      </c>
      <c r="CF847">
        <v>216402733</v>
      </c>
      <c r="CS847">
        <v>0</v>
      </c>
      <c r="CT847">
        <v>2</v>
      </c>
      <c r="CU847">
        <v>0</v>
      </c>
      <c r="CV847">
        <v>2</v>
      </c>
      <c r="CW847">
        <v>0</v>
      </c>
      <c r="CX847">
        <v>4</v>
      </c>
      <c r="CY847">
        <v>7</v>
      </c>
      <c r="CZ847" t="s">
        <v>131</v>
      </c>
      <c r="DA847">
        <v>116</v>
      </c>
      <c r="DB847">
        <v>0</v>
      </c>
      <c r="DC847" t="s">
        <v>132</v>
      </c>
      <c r="DD847" t="s">
        <v>133</v>
      </c>
      <c r="DG847">
        <v>14647852</v>
      </c>
      <c r="DI847">
        <v>0</v>
      </c>
      <c r="DJ847">
        <v>0</v>
      </c>
      <c r="DK847">
        <v>1</v>
      </c>
      <c r="DL847">
        <v>0</v>
      </c>
      <c r="DM847">
        <v>0</v>
      </c>
      <c r="DN847">
        <v>0</v>
      </c>
      <c r="DO847">
        <v>0</v>
      </c>
      <c r="DP847">
        <v>1</v>
      </c>
      <c r="DQ847">
        <v>0</v>
      </c>
      <c r="DR847">
        <v>0</v>
      </c>
      <c r="DS847">
        <v>0</v>
      </c>
    </row>
    <row r="848" spans="1:123" x14ac:dyDescent="0.25">
      <c r="A848" t="str">
        <f>"11/29/2023 20:25:27.493"</f>
        <v>11/29/2023 20:25:27.493</v>
      </c>
      <c r="C848" t="str">
        <f t="shared" ref="C848:C911" si="104">"FFDF53C0"</f>
        <v>FFDF53C0</v>
      </c>
      <c r="D848" t="s">
        <v>123</v>
      </c>
      <c r="E848">
        <v>14</v>
      </c>
      <c r="F848">
        <v>1014</v>
      </c>
      <c r="G848" t="s">
        <v>124</v>
      </c>
      <c r="J848" t="s">
        <v>125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"20:25:27.211"</f>
        <v>20:25:27.211</v>
      </c>
      <c r="T848" t="str">
        <f>"20:25:27.111"</f>
        <v>20:25:27.111</v>
      </c>
      <c r="U848" t="str">
        <f t="shared" si="102"/>
        <v>AA0632</v>
      </c>
      <c r="V848">
        <v>0</v>
      </c>
      <c r="W848">
        <v>0</v>
      </c>
      <c r="X848">
        <v>2</v>
      </c>
      <c r="Y848">
        <v>0</v>
      </c>
      <c r="AA848">
        <v>0</v>
      </c>
      <c r="AB848">
        <v>9</v>
      </c>
      <c r="AC848">
        <v>3</v>
      </c>
      <c r="AD848">
        <v>0</v>
      </c>
      <c r="AE848">
        <v>10</v>
      </c>
      <c r="AF848" t="s">
        <v>126</v>
      </c>
      <c r="AG848">
        <v>0</v>
      </c>
      <c r="AH848">
        <v>0</v>
      </c>
      <c r="AI848">
        <v>2</v>
      </c>
      <c r="AJ848">
        <v>0</v>
      </c>
      <c r="AK848" t="s">
        <v>556</v>
      </c>
      <c r="AL848">
        <v>31.922514</v>
      </c>
      <c r="AM848" t="s">
        <v>557</v>
      </c>
      <c r="AN848">
        <v>-101.004074</v>
      </c>
      <c r="AQ848" t="s">
        <v>129</v>
      </c>
      <c r="AR848">
        <v>99</v>
      </c>
      <c r="AS848">
        <v>10</v>
      </c>
      <c r="AT848">
        <v>-256</v>
      </c>
      <c r="BB848" t="str">
        <f t="shared" si="103"/>
        <v>1200</v>
      </c>
      <c r="BC848">
        <v>1</v>
      </c>
      <c r="BD848" t="str">
        <f t="shared" ref="BD848:BD911" si="105">"N745MB  "</f>
        <v xml:space="preserve">N745MB  </v>
      </c>
      <c r="BE848">
        <v>1</v>
      </c>
      <c r="BG848">
        <v>0</v>
      </c>
      <c r="BH848">
        <v>0</v>
      </c>
      <c r="BI848">
        <v>0</v>
      </c>
      <c r="BL848" t="s">
        <v>130</v>
      </c>
      <c r="BM848">
        <v>1</v>
      </c>
      <c r="BN848">
        <v>0</v>
      </c>
      <c r="BO848">
        <v>0</v>
      </c>
      <c r="BP848">
        <v>0</v>
      </c>
      <c r="BT848">
        <v>0</v>
      </c>
      <c r="BU848">
        <v>0</v>
      </c>
      <c r="CE848" t="str">
        <f>"20:25:27.216"</f>
        <v>20:25:27.216</v>
      </c>
      <c r="CF848">
        <v>216402733</v>
      </c>
      <c r="CS848">
        <v>0</v>
      </c>
      <c r="CT848">
        <v>2</v>
      </c>
      <c r="CU848">
        <v>0</v>
      </c>
      <c r="CV848">
        <v>2</v>
      </c>
      <c r="CW848">
        <v>0</v>
      </c>
      <c r="CX848">
        <v>4</v>
      </c>
      <c r="CY848">
        <v>7</v>
      </c>
      <c r="CZ848" t="s">
        <v>131</v>
      </c>
      <c r="DA848">
        <v>116</v>
      </c>
      <c r="DB848">
        <v>0</v>
      </c>
      <c r="DC848" t="s">
        <v>132</v>
      </c>
      <c r="DD848" t="s">
        <v>133</v>
      </c>
      <c r="DG848">
        <v>14647852</v>
      </c>
      <c r="DI848">
        <v>0</v>
      </c>
      <c r="DJ848">
        <v>0</v>
      </c>
      <c r="DK848">
        <v>1</v>
      </c>
      <c r="DL848">
        <v>0</v>
      </c>
      <c r="DM848">
        <v>0</v>
      </c>
      <c r="DN848">
        <v>0</v>
      </c>
      <c r="DO848">
        <v>0</v>
      </c>
      <c r="DP848">
        <v>1</v>
      </c>
      <c r="DQ848">
        <v>0</v>
      </c>
      <c r="DR848">
        <v>0</v>
      </c>
      <c r="DS848">
        <v>0</v>
      </c>
    </row>
    <row r="849" spans="1:123" x14ac:dyDescent="0.25">
      <c r="A849" t="str">
        <f>"11/29/2023 20:25:28.946"</f>
        <v>11/29/2023 20:25:28.946</v>
      </c>
      <c r="C849" t="str">
        <f t="shared" si="104"/>
        <v>FFDF53C0</v>
      </c>
      <c r="D849" t="s">
        <v>135</v>
      </c>
      <c r="E849">
        <v>31</v>
      </c>
      <c r="H849">
        <v>285</v>
      </c>
      <c r="I849" t="s">
        <v>136</v>
      </c>
      <c r="J849" t="s">
        <v>137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 t="shared" ref="S849:T852" si="106">"20:25:28.594"</f>
        <v>20:25:28.594</v>
      </c>
      <c r="T849" t="str">
        <f t="shared" si="106"/>
        <v>20:25:28.594</v>
      </c>
      <c r="U849" t="str">
        <f t="shared" si="102"/>
        <v>AA0632</v>
      </c>
      <c r="V849">
        <v>0</v>
      </c>
      <c r="W849">
        <v>0</v>
      </c>
      <c r="X849">
        <v>2</v>
      </c>
      <c r="Y849">
        <v>0</v>
      </c>
      <c r="AA849">
        <v>0</v>
      </c>
      <c r="AB849">
        <v>9</v>
      </c>
      <c r="AC849">
        <v>3</v>
      </c>
      <c r="AD849">
        <v>0</v>
      </c>
      <c r="AE849">
        <v>10</v>
      </c>
      <c r="AF849" t="s">
        <v>126</v>
      </c>
      <c r="AG849">
        <v>0</v>
      </c>
      <c r="AH849">
        <v>0</v>
      </c>
      <c r="AI849">
        <v>2</v>
      </c>
      <c r="AJ849">
        <v>0</v>
      </c>
      <c r="AK849" t="s">
        <v>558</v>
      </c>
      <c r="AL849">
        <v>31.922557000000001</v>
      </c>
      <c r="AM849" t="s">
        <v>559</v>
      </c>
      <c r="AN849">
        <v>-101.00330099999999</v>
      </c>
      <c r="AQ849" t="s">
        <v>129</v>
      </c>
      <c r="AR849">
        <v>100</v>
      </c>
      <c r="AS849">
        <v>10</v>
      </c>
      <c r="AT849">
        <v>-64</v>
      </c>
      <c r="BB849" t="str">
        <f t="shared" si="103"/>
        <v>1200</v>
      </c>
      <c r="BC849">
        <v>1</v>
      </c>
      <c r="BD849" t="str">
        <f t="shared" si="105"/>
        <v xml:space="preserve">N745MB  </v>
      </c>
      <c r="BE849">
        <v>1</v>
      </c>
      <c r="BG849">
        <v>0</v>
      </c>
      <c r="BH849">
        <v>0</v>
      </c>
      <c r="BI849">
        <v>0</v>
      </c>
      <c r="BL849" t="s">
        <v>130</v>
      </c>
      <c r="BM849">
        <v>1</v>
      </c>
      <c r="BN849">
        <v>0</v>
      </c>
      <c r="BO849">
        <v>0</v>
      </c>
      <c r="BP849">
        <v>0</v>
      </c>
      <c r="BT849">
        <v>0</v>
      </c>
      <c r="BU849">
        <v>0</v>
      </c>
      <c r="CE849" t="str">
        <f>"20:25:28.594"</f>
        <v>20:25:28.594</v>
      </c>
      <c r="CF849">
        <v>594310486</v>
      </c>
      <c r="CS849">
        <v>0</v>
      </c>
      <c r="CT849">
        <v>2</v>
      </c>
      <c r="CU849">
        <v>0</v>
      </c>
      <c r="CV849">
        <v>2</v>
      </c>
      <c r="CW849">
        <v>0</v>
      </c>
      <c r="CX849">
        <v>2</v>
      </c>
      <c r="CY849">
        <v>7</v>
      </c>
      <c r="CZ849" t="s">
        <v>131</v>
      </c>
      <c r="DA849">
        <v>116</v>
      </c>
      <c r="DB849">
        <v>3</v>
      </c>
      <c r="DC849" t="s">
        <v>132</v>
      </c>
      <c r="DD849" t="s">
        <v>133</v>
      </c>
      <c r="DG849">
        <v>8396931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1</v>
      </c>
      <c r="DQ849">
        <v>0</v>
      </c>
      <c r="DR849">
        <v>0</v>
      </c>
      <c r="DS849">
        <v>0</v>
      </c>
    </row>
    <row r="850" spans="1:123" x14ac:dyDescent="0.25">
      <c r="A850" t="str">
        <f>"11/29/2023 20:25:28.946"</f>
        <v>11/29/2023 20:25:28.946</v>
      </c>
      <c r="C850" t="str">
        <f t="shared" si="104"/>
        <v>FFDF53C0</v>
      </c>
      <c r="D850" t="s">
        <v>138</v>
      </c>
      <c r="E850">
        <v>3</v>
      </c>
      <c r="H850">
        <v>160</v>
      </c>
      <c r="I850" t="s">
        <v>124</v>
      </c>
      <c r="J850" t="s">
        <v>139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 t="shared" si="106"/>
        <v>20:25:28.594</v>
      </c>
      <c r="T850" t="str">
        <f t="shared" si="106"/>
        <v>20:25:28.594</v>
      </c>
      <c r="U850" t="str">
        <f t="shared" si="102"/>
        <v>AA0632</v>
      </c>
      <c r="V850">
        <v>0</v>
      </c>
      <c r="W850">
        <v>0</v>
      </c>
      <c r="X850">
        <v>2</v>
      </c>
      <c r="Y850">
        <v>0</v>
      </c>
      <c r="AA850">
        <v>0</v>
      </c>
      <c r="AB850">
        <v>9</v>
      </c>
      <c r="AC850">
        <v>3</v>
      </c>
      <c r="AD850">
        <v>0</v>
      </c>
      <c r="AE850">
        <v>10</v>
      </c>
      <c r="AF850" t="s">
        <v>126</v>
      </c>
      <c r="AG850">
        <v>0</v>
      </c>
      <c r="AH850">
        <v>0</v>
      </c>
      <c r="AI850">
        <v>2</v>
      </c>
      <c r="AJ850">
        <v>0</v>
      </c>
      <c r="AK850" t="s">
        <v>558</v>
      </c>
      <c r="AL850">
        <v>31.922557000000001</v>
      </c>
      <c r="AM850" t="s">
        <v>559</v>
      </c>
      <c r="AN850">
        <v>-101.00330099999999</v>
      </c>
      <c r="AQ850" t="s">
        <v>129</v>
      </c>
      <c r="AR850">
        <v>100</v>
      </c>
      <c r="AS850">
        <v>10</v>
      </c>
      <c r="AT850">
        <v>-64</v>
      </c>
      <c r="BB850" t="str">
        <f t="shared" si="103"/>
        <v>1200</v>
      </c>
      <c r="BC850">
        <v>1</v>
      </c>
      <c r="BD850" t="str">
        <f t="shared" si="105"/>
        <v xml:space="preserve">N745MB  </v>
      </c>
      <c r="BE850">
        <v>1</v>
      </c>
      <c r="BG850">
        <v>0</v>
      </c>
      <c r="BH850">
        <v>0</v>
      </c>
      <c r="BI850">
        <v>0</v>
      </c>
      <c r="BL850" t="s">
        <v>130</v>
      </c>
      <c r="BM850">
        <v>1</v>
      </c>
      <c r="BN850">
        <v>0</v>
      </c>
      <c r="BO850">
        <v>0</v>
      </c>
      <c r="BP850">
        <v>0</v>
      </c>
      <c r="BT850">
        <v>0</v>
      </c>
      <c r="BU850">
        <v>0</v>
      </c>
      <c r="CE850" t="str">
        <f>"20:25:28.594"</f>
        <v>20:25:28.594</v>
      </c>
      <c r="CF850">
        <v>594310486</v>
      </c>
      <c r="CS850">
        <v>0</v>
      </c>
      <c r="CT850">
        <v>2</v>
      </c>
      <c r="CU850">
        <v>0</v>
      </c>
      <c r="CV850">
        <v>2</v>
      </c>
      <c r="CW850">
        <v>0</v>
      </c>
      <c r="CX850">
        <v>2</v>
      </c>
      <c r="CY850">
        <v>7</v>
      </c>
      <c r="CZ850" t="s">
        <v>131</v>
      </c>
      <c r="DA850">
        <v>116</v>
      </c>
      <c r="DB850">
        <v>3</v>
      </c>
      <c r="DC850" t="s">
        <v>132</v>
      </c>
      <c r="DD850" t="s">
        <v>133</v>
      </c>
      <c r="DG850">
        <v>8396931</v>
      </c>
      <c r="DI850">
        <v>0</v>
      </c>
      <c r="DJ850">
        <v>0</v>
      </c>
      <c r="DK850">
        <v>1</v>
      </c>
      <c r="DL850">
        <v>0</v>
      </c>
      <c r="DM850">
        <v>0</v>
      </c>
      <c r="DN850">
        <v>0</v>
      </c>
      <c r="DO850">
        <v>0</v>
      </c>
      <c r="DP850">
        <v>1</v>
      </c>
      <c r="DQ850">
        <v>0</v>
      </c>
      <c r="DR850">
        <v>0</v>
      </c>
      <c r="DS850">
        <v>0</v>
      </c>
    </row>
    <row r="851" spans="1:123" x14ac:dyDescent="0.25">
      <c r="A851" t="str">
        <f>"11/29/2023 20:25:28.946"</f>
        <v>11/29/2023 20:25:28.946</v>
      </c>
      <c r="C851" t="str">
        <f t="shared" si="104"/>
        <v>FFDF53C0</v>
      </c>
      <c r="D851" t="s">
        <v>123</v>
      </c>
      <c r="E851">
        <v>14</v>
      </c>
      <c r="F851">
        <v>1014</v>
      </c>
      <c r="G851" t="s">
        <v>124</v>
      </c>
      <c r="J851" t="s">
        <v>125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 t="shared" si="106"/>
        <v>20:25:28.594</v>
      </c>
      <c r="T851" t="str">
        <f t="shared" si="106"/>
        <v>20:25:28.594</v>
      </c>
      <c r="U851" t="str">
        <f t="shared" si="102"/>
        <v>AA0632</v>
      </c>
      <c r="V851">
        <v>0</v>
      </c>
      <c r="W851">
        <v>0</v>
      </c>
      <c r="X851">
        <v>2</v>
      </c>
      <c r="Y851">
        <v>0</v>
      </c>
      <c r="AA851">
        <v>0</v>
      </c>
      <c r="AB851">
        <v>9</v>
      </c>
      <c r="AC851">
        <v>3</v>
      </c>
      <c r="AD851">
        <v>0</v>
      </c>
      <c r="AE851">
        <v>10</v>
      </c>
      <c r="AF851" t="s">
        <v>126</v>
      </c>
      <c r="AG851">
        <v>0</v>
      </c>
      <c r="AH851">
        <v>0</v>
      </c>
      <c r="AI851">
        <v>2</v>
      </c>
      <c r="AJ851">
        <v>0</v>
      </c>
      <c r="AK851" t="s">
        <v>558</v>
      </c>
      <c r="AL851">
        <v>31.922557000000001</v>
      </c>
      <c r="AM851" t="s">
        <v>559</v>
      </c>
      <c r="AN851">
        <v>-101.00330099999999</v>
      </c>
      <c r="AQ851" t="s">
        <v>129</v>
      </c>
      <c r="AR851">
        <v>100</v>
      </c>
      <c r="AS851">
        <v>10</v>
      </c>
      <c r="AT851">
        <v>-64</v>
      </c>
      <c r="BB851" t="str">
        <f t="shared" si="103"/>
        <v>1200</v>
      </c>
      <c r="BC851">
        <v>1</v>
      </c>
      <c r="BD851" t="str">
        <f t="shared" si="105"/>
        <v xml:space="preserve">N745MB  </v>
      </c>
      <c r="BE851">
        <v>1</v>
      </c>
      <c r="BG851">
        <v>0</v>
      </c>
      <c r="BH851">
        <v>0</v>
      </c>
      <c r="BI851">
        <v>0</v>
      </c>
      <c r="BL851" t="s">
        <v>130</v>
      </c>
      <c r="BM851">
        <v>1</v>
      </c>
      <c r="BN851">
        <v>0</v>
      </c>
      <c r="BO851">
        <v>0</v>
      </c>
      <c r="BP851">
        <v>0</v>
      </c>
      <c r="BT851">
        <v>0</v>
      </c>
      <c r="BU851">
        <v>0</v>
      </c>
      <c r="CE851" t="str">
        <f>"20:25:28.594"</f>
        <v>20:25:28.594</v>
      </c>
      <c r="CF851">
        <v>594310486</v>
      </c>
      <c r="CS851">
        <v>0</v>
      </c>
      <c r="CT851">
        <v>2</v>
      </c>
      <c r="CU851">
        <v>0</v>
      </c>
      <c r="CV851">
        <v>2</v>
      </c>
      <c r="CW851">
        <v>0</v>
      </c>
      <c r="CX851">
        <v>2</v>
      </c>
      <c r="CY851">
        <v>7</v>
      </c>
      <c r="CZ851" t="s">
        <v>131</v>
      </c>
      <c r="DA851">
        <v>116</v>
      </c>
      <c r="DB851">
        <v>3</v>
      </c>
      <c r="DC851" t="s">
        <v>132</v>
      </c>
      <c r="DD851" t="s">
        <v>133</v>
      </c>
      <c r="DG851">
        <v>8396931</v>
      </c>
      <c r="DI851">
        <v>0</v>
      </c>
      <c r="DJ851">
        <v>0</v>
      </c>
      <c r="DK851">
        <v>1</v>
      </c>
      <c r="DL851">
        <v>0</v>
      </c>
      <c r="DM851">
        <v>0</v>
      </c>
      <c r="DN851">
        <v>0</v>
      </c>
      <c r="DO851">
        <v>0</v>
      </c>
      <c r="DP851">
        <v>1</v>
      </c>
      <c r="DQ851">
        <v>0</v>
      </c>
      <c r="DR851">
        <v>0</v>
      </c>
      <c r="DS851">
        <v>0</v>
      </c>
    </row>
    <row r="852" spans="1:123" x14ac:dyDescent="0.25">
      <c r="A852" t="str">
        <f>"11/29/2023 20:25:28.946"</f>
        <v>11/29/2023 20:25:28.946</v>
      </c>
      <c r="C852" t="str">
        <f t="shared" si="104"/>
        <v>FFDF53C0</v>
      </c>
      <c r="D852" t="s">
        <v>123</v>
      </c>
      <c r="E852">
        <v>1</v>
      </c>
      <c r="F852">
        <v>1001</v>
      </c>
      <c r="G852" t="s">
        <v>134</v>
      </c>
      <c r="J852" t="s">
        <v>125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 t="shared" si="106"/>
        <v>20:25:28.594</v>
      </c>
      <c r="T852" t="str">
        <f t="shared" si="106"/>
        <v>20:25:28.594</v>
      </c>
      <c r="U852" t="str">
        <f t="shared" si="102"/>
        <v>AA0632</v>
      </c>
      <c r="V852">
        <v>0</v>
      </c>
      <c r="W852">
        <v>0</v>
      </c>
      <c r="X852">
        <v>2</v>
      </c>
      <c r="Y852">
        <v>0</v>
      </c>
      <c r="AA852">
        <v>0</v>
      </c>
      <c r="AB852">
        <v>9</v>
      </c>
      <c r="AC852">
        <v>3</v>
      </c>
      <c r="AD852">
        <v>0</v>
      </c>
      <c r="AE852">
        <v>10</v>
      </c>
      <c r="AF852" t="s">
        <v>126</v>
      </c>
      <c r="AG852">
        <v>0</v>
      </c>
      <c r="AH852">
        <v>0</v>
      </c>
      <c r="AI852">
        <v>2</v>
      </c>
      <c r="AJ852">
        <v>0</v>
      </c>
      <c r="AK852" t="s">
        <v>558</v>
      </c>
      <c r="AL852">
        <v>31.922557000000001</v>
      </c>
      <c r="AM852" t="s">
        <v>559</v>
      </c>
      <c r="AN852">
        <v>-101.00330099999999</v>
      </c>
      <c r="AQ852" t="s">
        <v>129</v>
      </c>
      <c r="AR852">
        <v>100</v>
      </c>
      <c r="AS852">
        <v>10</v>
      </c>
      <c r="AT852">
        <v>-64</v>
      </c>
      <c r="BB852" t="str">
        <f t="shared" si="103"/>
        <v>1200</v>
      </c>
      <c r="BC852">
        <v>1</v>
      </c>
      <c r="BD852" t="str">
        <f t="shared" si="105"/>
        <v xml:space="preserve">N745MB  </v>
      </c>
      <c r="BE852">
        <v>1</v>
      </c>
      <c r="BG852">
        <v>0</v>
      </c>
      <c r="BH852">
        <v>0</v>
      </c>
      <c r="BI852">
        <v>0</v>
      </c>
      <c r="BL852" t="s">
        <v>130</v>
      </c>
      <c r="BM852">
        <v>1</v>
      </c>
      <c r="BN852">
        <v>0</v>
      </c>
      <c r="BO852">
        <v>0</v>
      </c>
      <c r="BP852">
        <v>0</v>
      </c>
      <c r="BT852">
        <v>0</v>
      </c>
      <c r="BU852">
        <v>0</v>
      </c>
      <c r="CE852" t="str">
        <f>"20:25:28.594"</f>
        <v>20:25:28.594</v>
      </c>
      <c r="CF852">
        <v>594310486</v>
      </c>
      <c r="CS852">
        <v>0</v>
      </c>
      <c r="CT852">
        <v>2</v>
      </c>
      <c r="CU852">
        <v>0</v>
      </c>
      <c r="CV852">
        <v>2</v>
      </c>
      <c r="CW852">
        <v>0</v>
      </c>
      <c r="CX852">
        <v>2</v>
      </c>
      <c r="CY852">
        <v>7</v>
      </c>
      <c r="CZ852" t="s">
        <v>131</v>
      </c>
      <c r="DA852">
        <v>116</v>
      </c>
      <c r="DB852">
        <v>3</v>
      </c>
      <c r="DC852" t="s">
        <v>132</v>
      </c>
      <c r="DD852" t="s">
        <v>133</v>
      </c>
      <c r="DG852">
        <v>8396931</v>
      </c>
      <c r="DI852">
        <v>0</v>
      </c>
      <c r="DJ852">
        <v>0</v>
      </c>
      <c r="DK852">
        <v>1</v>
      </c>
      <c r="DL852">
        <v>0</v>
      </c>
      <c r="DM852">
        <v>0</v>
      </c>
      <c r="DN852">
        <v>0</v>
      </c>
      <c r="DO852">
        <v>0</v>
      </c>
      <c r="DP852">
        <v>1</v>
      </c>
      <c r="DQ852">
        <v>0</v>
      </c>
      <c r="DR852">
        <v>0</v>
      </c>
      <c r="DS852">
        <v>0</v>
      </c>
    </row>
    <row r="853" spans="1:123" x14ac:dyDescent="0.25">
      <c r="A853" t="str">
        <f>"11/29/2023 20:25:30.149"</f>
        <v>11/29/2023 20:25:30.149</v>
      </c>
      <c r="C853" t="str">
        <f t="shared" si="104"/>
        <v>FFDF53C0</v>
      </c>
      <c r="D853" t="s">
        <v>135</v>
      </c>
      <c r="E853">
        <v>31</v>
      </c>
      <c r="H853">
        <v>285</v>
      </c>
      <c r="I853" t="s">
        <v>136</v>
      </c>
      <c r="J853" t="s">
        <v>137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"20:25:29.734"</f>
        <v>20:25:29.734</v>
      </c>
      <c r="T853" t="str">
        <f>"20:25:29.534"</f>
        <v>20:25:29.534</v>
      </c>
      <c r="U853" t="str">
        <f t="shared" si="102"/>
        <v>AA0632</v>
      </c>
      <c r="V853">
        <v>0</v>
      </c>
      <c r="W853">
        <v>0</v>
      </c>
      <c r="X853">
        <v>2</v>
      </c>
      <c r="Y853">
        <v>0</v>
      </c>
      <c r="AA853">
        <v>0</v>
      </c>
      <c r="AB853">
        <v>9</v>
      </c>
      <c r="AC853">
        <v>3</v>
      </c>
      <c r="AD853">
        <v>0</v>
      </c>
      <c r="AE853">
        <v>10</v>
      </c>
      <c r="AF853" t="s">
        <v>126</v>
      </c>
      <c r="AG853">
        <v>0</v>
      </c>
      <c r="AH853">
        <v>0</v>
      </c>
      <c r="AI853">
        <v>2</v>
      </c>
      <c r="AJ853">
        <v>0</v>
      </c>
      <c r="AK853" t="s">
        <v>560</v>
      </c>
      <c r="AL853">
        <v>31.922643000000001</v>
      </c>
      <c r="AM853" t="s">
        <v>561</v>
      </c>
      <c r="AN853">
        <v>-101.0027</v>
      </c>
      <c r="AQ853" t="s">
        <v>129</v>
      </c>
      <c r="AR853">
        <v>100</v>
      </c>
      <c r="AS853">
        <v>11</v>
      </c>
      <c r="AT853">
        <v>-64</v>
      </c>
      <c r="BB853" t="str">
        <f t="shared" si="103"/>
        <v>1200</v>
      </c>
      <c r="BC853">
        <v>1</v>
      </c>
      <c r="BD853" t="str">
        <f t="shared" si="105"/>
        <v xml:space="preserve">N745MB  </v>
      </c>
      <c r="BE853">
        <v>1</v>
      </c>
      <c r="BG853">
        <v>0</v>
      </c>
      <c r="BH853">
        <v>0</v>
      </c>
      <c r="BI853">
        <v>0</v>
      </c>
      <c r="BL853" t="s">
        <v>130</v>
      </c>
      <c r="BM853">
        <v>1</v>
      </c>
      <c r="BN853">
        <v>0</v>
      </c>
      <c r="BO853">
        <v>0</v>
      </c>
      <c r="BP853">
        <v>0</v>
      </c>
      <c r="BT853">
        <v>0</v>
      </c>
      <c r="BU853">
        <v>0</v>
      </c>
      <c r="CE853" t="str">
        <f>"20:25:29.738"</f>
        <v>20:25:29.738</v>
      </c>
      <c r="CF853">
        <v>738236310</v>
      </c>
      <c r="CS853">
        <v>0</v>
      </c>
      <c r="CT853">
        <v>2</v>
      </c>
      <c r="CU853">
        <v>0</v>
      </c>
      <c r="CV853">
        <v>2</v>
      </c>
      <c r="CW853">
        <v>0</v>
      </c>
      <c r="CX853">
        <v>5</v>
      </c>
      <c r="CY853">
        <v>7</v>
      </c>
      <c r="CZ853" t="s">
        <v>131</v>
      </c>
      <c r="DA853">
        <v>116</v>
      </c>
      <c r="DB853">
        <v>3</v>
      </c>
      <c r="DC853" t="s">
        <v>132</v>
      </c>
      <c r="DD853" t="s">
        <v>133</v>
      </c>
      <c r="DG853">
        <v>8397540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1</v>
      </c>
      <c r="DQ853">
        <v>0</v>
      </c>
      <c r="DR853">
        <v>0</v>
      </c>
      <c r="DS853">
        <v>0</v>
      </c>
    </row>
    <row r="854" spans="1:123" x14ac:dyDescent="0.25">
      <c r="A854" t="str">
        <f>"11/29/2023 20:25:30.149"</f>
        <v>11/29/2023 20:25:30.149</v>
      </c>
      <c r="C854" t="str">
        <f t="shared" si="104"/>
        <v>FFDF53C0</v>
      </c>
      <c r="D854" t="s">
        <v>138</v>
      </c>
      <c r="E854">
        <v>3</v>
      </c>
      <c r="H854">
        <v>160</v>
      </c>
      <c r="I854" t="s">
        <v>124</v>
      </c>
      <c r="J854" t="s">
        <v>139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"20:25:29.734"</f>
        <v>20:25:29.734</v>
      </c>
      <c r="T854" t="str">
        <f>"20:25:29.534"</f>
        <v>20:25:29.534</v>
      </c>
      <c r="U854" t="str">
        <f t="shared" si="102"/>
        <v>AA0632</v>
      </c>
      <c r="V854">
        <v>0</v>
      </c>
      <c r="W854">
        <v>0</v>
      </c>
      <c r="X854">
        <v>2</v>
      </c>
      <c r="Y854">
        <v>0</v>
      </c>
      <c r="AA854">
        <v>0</v>
      </c>
      <c r="AB854">
        <v>9</v>
      </c>
      <c r="AC854">
        <v>3</v>
      </c>
      <c r="AD854">
        <v>0</v>
      </c>
      <c r="AE854">
        <v>10</v>
      </c>
      <c r="AF854" t="s">
        <v>126</v>
      </c>
      <c r="AG854">
        <v>0</v>
      </c>
      <c r="AH854">
        <v>0</v>
      </c>
      <c r="AI854">
        <v>2</v>
      </c>
      <c r="AJ854">
        <v>0</v>
      </c>
      <c r="AK854" t="s">
        <v>560</v>
      </c>
      <c r="AL854">
        <v>31.922643000000001</v>
      </c>
      <c r="AM854" t="s">
        <v>561</v>
      </c>
      <c r="AN854">
        <v>-101.0027</v>
      </c>
      <c r="AQ854" t="s">
        <v>129</v>
      </c>
      <c r="AR854">
        <v>100</v>
      </c>
      <c r="AS854">
        <v>11</v>
      </c>
      <c r="AT854">
        <v>-64</v>
      </c>
      <c r="BB854" t="str">
        <f t="shared" si="103"/>
        <v>1200</v>
      </c>
      <c r="BC854">
        <v>1</v>
      </c>
      <c r="BD854" t="str">
        <f t="shared" si="105"/>
        <v xml:space="preserve">N745MB  </v>
      </c>
      <c r="BE854">
        <v>1</v>
      </c>
      <c r="BG854">
        <v>0</v>
      </c>
      <c r="BH854">
        <v>0</v>
      </c>
      <c r="BI854">
        <v>0</v>
      </c>
      <c r="BL854" t="s">
        <v>130</v>
      </c>
      <c r="BM854">
        <v>1</v>
      </c>
      <c r="BN854">
        <v>0</v>
      </c>
      <c r="BO854">
        <v>0</v>
      </c>
      <c r="BP854">
        <v>0</v>
      </c>
      <c r="BT854">
        <v>0</v>
      </c>
      <c r="BU854">
        <v>0</v>
      </c>
      <c r="CE854" t="str">
        <f>"20:25:29.738"</f>
        <v>20:25:29.738</v>
      </c>
      <c r="CF854">
        <v>738236310</v>
      </c>
      <c r="CS854">
        <v>0</v>
      </c>
      <c r="CT854">
        <v>2</v>
      </c>
      <c r="CU854">
        <v>0</v>
      </c>
      <c r="CV854">
        <v>2</v>
      </c>
      <c r="CW854">
        <v>0</v>
      </c>
      <c r="CX854">
        <v>5</v>
      </c>
      <c r="CY854">
        <v>7</v>
      </c>
      <c r="CZ854" t="s">
        <v>131</v>
      </c>
      <c r="DA854">
        <v>116</v>
      </c>
      <c r="DB854">
        <v>3</v>
      </c>
      <c r="DC854" t="s">
        <v>132</v>
      </c>
      <c r="DD854" t="s">
        <v>133</v>
      </c>
      <c r="DG854">
        <v>8397540</v>
      </c>
      <c r="DI854">
        <v>0</v>
      </c>
      <c r="DJ854">
        <v>0</v>
      </c>
      <c r="DK854">
        <v>1</v>
      </c>
      <c r="DL854">
        <v>0</v>
      </c>
      <c r="DM854">
        <v>0</v>
      </c>
      <c r="DN854">
        <v>0</v>
      </c>
      <c r="DO854">
        <v>0</v>
      </c>
      <c r="DP854">
        <v>1</v>
      </c>
      <c r="DQ854">
        <v>0</v>
      </c>
      <c r="DR854">
        <v>0</v>
      </c>
      <c r="DS854">
        <v>0</v>
      </c>
    </row>
    <row r="855" spans="1:123" x14ac:dyDescent="0.25">
      <c r="A855" t="str">
        <f>"11/29/2023 20:25:30.149"</f>
        <v>11/29/2023 20:25:30.149</v>
      </c>
      <c r="C855" t="str">
        <f t="shared" si="104"/>
        <v>FFDF53C0</v>
      </c>
      <c r="D855" t="s">
        <v>123</v>
      </c>
      <c r="E855">
        <v>1</v>
      </c>
      <c r="F855">
        <v>1001</v>
      </c>
      <c r="G855" t="s">
        <v>134</v>
      </c>
      <c r="J855" t="s">
        <v>125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"20:25:29.734"</f>
        <v>20:25:29.734</v>
      </c>
      <c r="T855" t="str">
        <f>"20:25:29.534"</f>
        <v>20:25:29.534</v>
      </c>
      <c r="U855" t="str">
        <f t="shared" si="102"/>
        <v>AA0632</v>
      </c>
      <c r="V855">
        <v>0</v>
      </c>
      <c r="W855">
        <v>0</v>
      </c>
      <c r="X855">
        <v>2</v>
      </c>
      <c r="Y855">
        <v>0</v>
      </c>
      <c r="AA855">
        <v>0</v>
      </c>
      <c r="AB855">
        <v>9</v>
      </c>
      <c r="AC855">
        <v>3</v>
      </c>
      <c r="AD855">
        <v>0</v>
      </c>
      <c r="AE855">
        <v>10</v>
      </c>
      <c r="AF855" t="s">
        <v>126</v>
      </c>
      <c r="AG855">
        <v>0</v>
      </c>
      <c r="AH855">
        <v>0</v>
      </c>
      <c r="AI855">
        <v>2</v>
      </c>
      <c r="AJ855">
        <v>0</v>
      </c>
      <c r="AK855" t="s">
        <v>560</v>
      </c>
      <c r="AL855">
        <v>31.922643000000001</v>
      </c>
      <c r="AM855" t="s">
        <v>561</v>
      </c>
      <c r="AN855">
        <v>-101.0027</v>
      </c>
      <c r="AQ855" t="s">
        <v>129</v>
      </c>
      <c r="AR855">
        <v>100</v>
      </c>
      <c r="AS855">
        <v>11</v>
      </c>
      <c r="AT855">
        <v>-64</v>
      </c>
      <c r="BB855" t="str">
        <f t="shared" si="103"/>
        <v>1200</v>
      </c>
      <c r="BC855">
        <v>1</v>
      </c>
      <c r="BD855" t="str">
        <f t="shared" si="105"/>
        <v xml:space="preserve">N745MB  </v>
      </c>
      <c r="BE855">
        <v>1</v>
      </c>
      <c r="BG855">
        <v>0</v>
      </c>
      <c r="BH855">
        <v>0</v>
      </c>
      <c r="BI855">
        <v>0</v>
      </c>
      <c r="BL855" t="s">
        <v>130</v>
      </c>
      <c r="BM855">
        <v>1</v>
      </c>
      <c r="BN855">
        <v>0</v>
      </c>
      <c r="BO855">
        <v>0</v>
      </c>
      <c r="BP855">
        <v>0</v>
      </c>
      <c r="BT855">
        <v>0</v>
      </c>
      <c r="BU855">
        <v>0</v>
      </c>
      <c r="CE855" t="str">
        <f>"20:25:29.738"</f>
        <v>20:25:29.738</v>
      </c>
      <c r="CF855">
        <v>738236310</v>
      </c>
      <c r="CS855">
        <v>0</v>
      </c>
      <c r="CT855">
        <v>2</v>
      </c>
      <c r="CU855">
        <v>0</v>
      </c>
      <c r="CV855">
        <v>2</v>
      </c>
      <c r="CW855">
        <v>0</v>
      </c>
      <c r="CX855">
        <v>5</v>
      </c>
      <c r="CY855">
        <v>7</v>
      </c>
      <c r="CZ855" t="s">
        <v>131</v>
      </c>
      <c r="DA855">
        <v>116</v>
      </c>
      <c r="DB855">
        <v>3</v>
      </c>
      <c r="DC855" t="s">
        <v>132</v>
      </c>
      <c r="DD855" t="s">
        <v>133</v>
      </c>
      <c r="DG855">
        <v>8397540</v>
      </c>
      <c r="DI855">
        <v>0</v>
      </c>
      <c r="DJ855">
        <v>0</v>
      </c>
      <c r="DK855">
        <v>1</v>
      </c>
      <c r="DL855">
        <v>0</v>
      </c>
      <c r="DM855">
        <v>0</v>
      </c>
      <c r="DN855">
        <v>0</v>
      </c>
      <c r="DO855">
        <v>0</v>
      </c>
      <c r="DP855">
        <v>1</v>
      </c>
      <c r="DQ855">
        <v>0</v>
      </c>
      <c r="DR855">
        <v>0</v>
      </c>
      <c r="DS855">
        <v>0</v>
      </c>
    </row>
    <row r="856" spans="1:123" x14ac:dyDescent="0.25">
      <c r="A856" t="str">
        <f>"11/29/2023 20:25:30.149"</f>
        <v>11/29/2023 20:25:30.149</v>
      </c>
      <c r="C856" t="str">
        <f t="shared" si="104"/>
        <v>FFDF53C0</v>
      </c>
      <c r="D856" t="s">
        <v>123</v>
      </c>
      <c r="E856">
        <v>14</v>
      </c>
      <c r="F856">
        <v>1014</v>
      </c>
      <c r="G856" t="s">
        <v>124</v>
      </c>
      <c r="J856" t="s">
        <v>125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"20:25:29.734"</f>
        <v>20:25:29.734</v>
      </c>
      <c r="T856" t="str">
        <f>"20:25:29.534"</f>
        <v>20:25:29.534</v>
      </c>
      <c r="U856" t="str">
        <f t="shared" si="102"/>
        <v>AA0632</v>
      </c>
      <c r="V856">
        <v>0</v>
      </c>
      <c r="W856">
        <v>0</v>
      </c>
      <c r="X856">
        <v>2</v>
      </c>
      <c r="Y856">
        <v>0</v>
      </c>
      <c r="AA856">
        <v>0</v>
      </c>
      <c r="AB856">
        <v>9</v>
      </c>
      <c r="AC856">
        <v>3</v>
      </c>
      <c r="AD856">
        <v>0</v>
      </c>
      <c r="AE856">
        <v>10</v>
      </c>
      <c r="AF856" t="s">
        <v>126</v>
      </c>
      <c r="AG856">
        <v>0</v>
      </c>
      <c r="AH856">
        <v>0</v>
      </c>
      <c r="AI856">
        <v>2</v>
      </c>
      <c r="AJ856">
        <v>0</v>
      </c>
      <c r="AK856" t="s">
        <v>560</v>
      </c>
      <c r="AL856">
        <v>31.922643000000001</v>
      </c>
      <c r="AM856" t="s">
        <v>561</v>
      </c>
      <c r="AN856">
        <v>-101.0027</v>
      </c>
      <c r="AQ856" t="s">
        <v>129</v>
      </c>
      <c r="AR856">
        <v>100</v>
      </c>
      <c r="AS856">
        <v>11</v>
      </c>
      <c r="AT856">
        <v>-64</v>
      </c>
      <c r="BB856" t="str">
        <f t="shared" si="103"/>
        <v>1200</v>
      </c>
      <c r="BC856">
        <v>1</v>
      </c>
      <c r="BD856" t="str">
        <f t="shared" si="105"/>
        <v xml:space="preserve">N745MB  </v>
      </c>
      <c r="BE856">
        <v>1</v>
      </c>
      <c r="BG856">
        <v>0</v>
      </c>
      <c r="BH856">
        <v>0</v>
      </c>
      <c r="BI856">
        <v>0</v>
      </c>
      <c r="BL856" t="s">
        <v>130</v>
      </c>
      <c r="BM856">
        <v>1</v>
      </c>
      <c r="BN856">
        <v>0</v>
      </c>
      <c r="BO856">
        <v>0</v>
      </c>
      <c r="BP856">
        <v>0</v>
      </c>
      <c r="BT856">
        <v>0</v>
      </c>
      <c r="BU856">
        <v>0</v>
      </c>
      <c r="CE856" t="str">
        <f>"20:25:29.738"</f>
        <v>20:25:29.738</v>
      </c>
      <c r="CF856">
        <v>738236310</v>
      </c>
      <c r="CS856">
        <v>0</v>
      </c>
      <c r="CT856">
        <v>2</v>
      </c>
      <c r="CU856">
        <v>0</v>
      </c>
      <c r="CV856">
        <v>2</v>
      </c>
      <c r="CW856">
        <v>0</v>
      </c>
      <c r="CX856">
        <v>5</v>
      </c>
      <c r="CY856">
        <v>7</v>
      </c>
      <c r="CZ856" t="s">
        <v>131</v>
      </c>
      <c r="DA856">
        <v>116</v>
      </c>
      <c r="DB856">
        <v>3</v>
      </c>
      <c r="DC856" t="s">
        <v>132</v>
      </c>
      <c r="DD856" t="s">
        <v>133</v>
      </c>
      <c r="DG856">
        <v>8397540</v>
      </c>
      <c r="DI856">
        <v>0</v>
      </c>
      <c r="DJ856">
        <v>0</v>
      </c>
      <c r="DK856">
        <v>1</v>
      </c>
      <c r="DL856">
        <v>0</v>
      </c>
      <c r="DM856">
        <v>0</v>
      </c>
      <c r="DN856">
        <v>0</v>
      </c>
      <c r="DO856">
        <v>0</v>
      </c>
      <c r="DP856">
        <v>1</v>
      </c>
      <c r="DQ856">
        <v>0</v>
      </c>
      <c r="DR856">
        <v>0</v>
      </c>
      <c r="DS856">
        <v>0</v>
      </c>
    </row>
    <row r="857" spans="1:123" x14ac:dyDescent="0.25">
      <c r="A857" t="str">
        <f>"11/29/2023 20:25:31.571"</f>
        <v>11/29/2023 20:25:31.571</v>
      </c>
      <c r="C857" t="str">
        <f t="shared" si="104"/>
        <v>FFDF53C0</v>
      </c>
      <c r="D857" t="s">
        <v>135</v>
      </c>
      <c r="E857">
        <v>31</v>
      </c>
      <c r="H857">
        <v>285</v>
      </c>
      <c r="I857" t="s">
        <v>136</v>
      </c>
      <c r="J857" t="s">
        <v>137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"20:25:31.250"</f>
        <v>20:25:31.250</v>
      </c>
      <c r="T857" t="str">
        <f>"20:25:31.150"</f>
        <v>20:25:31.150</v>
      </c>
      <c r="U857" t="str">
        <f t="shared" si="102"/>
        <v>AA0632</v>
      </c>
      <c r="V857">
        <v>0</v>
      </c>
      <c r="W857">
        <v>0</v>
      </c>
      <c r="X857">
        <v>2</v>
      </c>
      <c r="Y857">
        <v>0</v>
      </c>
      <c r="AA857">
        <v>0</v>
      </c>
      <c r="AB857">
        <v>9</v>
      </c>
      <c r="AC857">
        <v>3</v>
      </c>
      <c r="AD857">
        <v>0</v>
      </c>
      <c r="AE857">
        <v>10</v>
      </c>
      <c r="AF857" t="s">
        <v>126</v>
      </c>
      <c r="AG857">
        <v>0</v>
      </c>
      <c r="AH857">
        <v>0</v>
      </c>
      <c r="AI857">
        <v>2</v>
      </c>
      <c r="AJ857">
        <v>0</v>
      </c>
      <c r="AK857" t="s">
        <v>562</v>
      </c>
      <c r="AL857">
        <v>31.922708</v>
      </c>
      <c r="AM857" t="s">
        <v>563</v>
      </c>
      <c r="AN857">
        <v>-101.001863</v>
      </c>
      <c r="AQ857" t="s">
        <v>129</v>
      </c>
      <c r="AR857">
        <v>100</v>
      </c>
      <c r="AS857">
        <v>10</v>
      </c>
      <c r="AT857">
        <v>-64</v>
      </c>
      <c r="BB857" t="str">
        <f t="shared" si="103"/>
        <v>1200</v>
      </c>
      <c r="BC857">
        <v>1</v>
      </c>
      <c r="BD857" t="str">
        <f t="shared" si="105"/>
        <v xml:space="preserve">N745MB  </v>
      </c>
      <c r="BE857">
        <v>1</v>
      </c>
      <c r="BG857">
        <v>0</v>
      </c>
      <c r="BH857">
        <v>0</v>
      </c>
      <c r="BI857">
        <v>0</v>
      </c>
      <c r="BL857" t="s">
        <v>130</v>
      </c>
      <c r="BM857">
        <v>1</v>
      </c>
      <c r="BN857">
        <v>0</v>
      </c>
      <c r="BO857">
        <v>0</v>
      </c>
      <c r="BP857">
        <v>0</v>
      </c>
      <c r="BT857">
        <v>0</v>
      </c>
      <c r="BU857">
        <v>0</v>
      </c>
      <c r="CE857" t="str">
        <f>"20:25:31.254"</f>
        <v>20:25:31.254</v>
      </c>
      <c r="CF857">
        <v>254136905</v>
      </c>
      <c r="CS857">
        <v>0</v>
      </c>
      <c r="CT857">
        <v>2</v>
      </c>
      <c r="CU857">
        <v>0</v>
      </c>
      <c r="CV857">
        <v>2</v>
      </c>
      <c r="CW857">
        <v>0</v>
      </c>
      <c r="CX857">
        <v>1</v>
      </c>
      <c r="CY857">
        <v>7</v>
      </c>
      <c r="CZ857" t="s">
        <v>131</v>
      </c>
      <c r="DA857">
        <v>116</v>
      </c>
      <c r="DB857">
        <v>3</v>
      </c>
      <c r="DC857" t="s">
        <v>132</v>
      </c>
      <c r="DD857" t="s">
        <v>133</v>
      </c>
      <c r="DG857">
        <v>8398349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1</v>
      </c>
      <c r="DQ857">
        <v>0</v>
      </c>
      <c r="DR857">
        <v>0</v>
      </c>
      <c r="DS857">
        <v>0</v>
      </c>
    </row>
    <row r="858" spans="1:123" x14ac:dyDescent="0.25">
      <c r="A858" t="str">
        <f>"11/29/2023 20:25:31.571"</f>
        <v>11/29/2023 20:25:31.571</v>
      </c>
      <c r="C858" t="str">
        <f t="shared" si="104"/>
        <v>FFDF53C0</v>
      </c>
      <c r="D858" t="s">
        <v>123</v>
      </c>
      <c r="E858">
        <v>14</v>
      </c>
      <c r="F858">
        <v>1014</v>
      </c>
      <c r="G858" t="s">
        <v>124</v>
      </c>
      <c r="J858" t="s">
        <v>125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"20:25:31.250"</f>
        <v>20:25:31.250</v>
      </c>
      <c r="T858" t="str">
        <f>"20:25:31.150"</f>
        <v>20:25:31.150</v>
      </c>
      <c r="U858" t="str">
        <f t="shared" si="102"/>
        <v>AA0632</v>
      </c>
      <c r="V858">
        <v>0</v>
      </c>
      <c r="W858">
        <v>0</v>
      </c>
      <c r="X858">
        <v>2</v>
      </c>
      <c r="Y858">
        <v>0</v>
      </c>
      <c r="AA858">
        <v>0</v>
      </c>
      <c r="AB858">
        <v>9</v>
      </c>
      <c r="AC858">
        <v>3</v>
      </c>
      <c r="AD858">
        <v>0</v>
      </c>
      <c r="AE858">
        <v>10</v>
      </c>
      <c r="AF858" t="s">
        <v>126</v>
      </c>
      <c r="AG858">
        <v>0</v>
      </c>
      <c r="AH858">
        <v>0</v>
      </c>
      <c r="AI858">
        <v>2</v>
      </c>
      <c r="AJ858">
        <v>0</v>
      </c>
      <c r="AK858" t="s">
        <v>562</v>
      </c>
      <c r="AL858">
        <v>31.922708</v>
      </c>
      <c r="AM858" t="s">
        <v>563</v>
      </c>
      <c r="AN858">
        <v>-101.001863</v>
      </c>
      <c r="AQ858" t="s">
        <v>129</v>
      </c>
      <c r="AR858">
        <v>100</v>
      </c>
      <c r="AS858">
        <v>10</v>
      </c>
      <c r="AT858">
        <v>-64</v>
      </c>
      <c r="BB858" t="str">
        <f t="shared" si="103"/>
        <v>1200</v>
      </c>
      <c r="BC858">
        <v>1</v>
      </c>
      <c r="BD858" t="str">
        <f t="shared" si="105"/>
        <v xml:space="preserve">N745MB  </v>
      </c>
      <c r="BE858">
        <v>1</v>
      </c>
      <c r="BG858">
        <v>0</v>
      </c>
      <c r="BH858">
        <v>0</v>
      </c>
      <c r="BI858">
        <v>0</v>
      </c>
      <c r="BL858" t="s">
        <v>130</v>
      </c>
      <c r="BM858">
        <v>1</v>
      </c>
      <c r="BN858">
        <v>0</v>
      </c>
      <c r="BO858">
        <v>0</v>
      </c>
      <c r="BP858">
        <v>0</v>
      </c>
      <c r="BT858">
        <v>0</v>
      </c>
      <c r="BU858">
        <v>0</v>
      </c>
      <c r="CE858" t="str">
        <f>"20:25:31.254"</f>
        <v>20:25:31.254</v>
      </c>
      <c r="CF858">
        <v>254136905</v>
      </c>
      <c r="CS858">
        <v>0</v>
      </c>
      <c r="CT858">
        <v>2</v>
      </c>
      <c r="CU858">
        <v>0</v>
      </c>
      <c r="CV858">
        <v>2</v>
      </c>
      <c r="CW858">
        <v>0</v>
      </c>
      <c r="CX858">
        <v>1</v>
      </c>
      <c r="CY858">
        <v>7</v>
      </c>
      <c r="CZ858" t="s">
        <v>131</v>
      </c>
      <c r="DA858">
        <v>116</v>
      </c>
      <c r="DB858">
        <v>3</v>
      </c>
      <c r="DC858" t="s">
        <v>132</v>
      </c>
      <c r="DD858" t="s">
        <v>133</v>
      </c>
      <c r="DG858">
        <v>8398349</v>
      </c>
      <c r="DI858">
        <v>0</v>
      </c>
      <c r="DJ858">
        <v>0</v>
      </c>
      <c r="DK858">
        <v>1</v>
      </c>
      <c r="DL858">
        <v>0</v>
      </c>
      <c r="DM858">
        <v>0</v>
      </c>
      <c r="DN858">
        <v>0</v>
      </c>
      <c r="DO858">
        <v>0</v>
      </c>
      <c r="DP858">
        <v>1</v>
      </c>
      <c r="DQ858">
        <v>0</v>
      </c>
      <c r="DR858">
        <v>0</v>
      </c>
      <c r="DS858">
        <v>0</v>
      </c>
    </row>
    <row r="859" spans="1:123" x14ac:dyDescent="0.25">
      <c r="A859" t="str">
        <f>"11/29/2023 20:25:31.571"</f>
        <v>11/29/2023 20:25:31.571</v>
      </c>
      <c r="C859" t="str">
        <f t="shared" si="104"/>
        <v>FFDF53C0</v>
      </c>
      <c r="D859" t="s">
        <v>123</v>
      </c>
      <c r="E859">
        <v>1</v>
      </c>
      <c r="F859">
        <v>1001</v>
      </c>
      <c r="G859" t="s">
        <v>134</v>
      </c>
      <c r="J859" t="s">
        <v>125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"20:25:31.250"</f>
        <v>20:25:31.250</v>
      </c>
      <c r="T859" t="str">
        <f>"20:25:31.150"</f>
        <v>20:25:31.150</v>
      </c>
      <c r="U859" t="str">
        <f t="shared" si="102"/>
        <v>AA0632</v>
      </c>
      <c r="V859">
        <v>0</v>
      </c>
      <c r="W859">
        <v>0</v>
      </c>
      <c r="X859">
        <v>2</v>
      </c>
      <c r="Y859">
        <v>0</v>
      </c>
      <c r="AA859">
        <v>0</v>
      </c>
      <c r="AB859">
        <v>9</v>
      </c>
      <c r="AC859">
        <v>3</v>
      </c>
      <c r="AD859">
        <v>0</v>
      </c>
      <c r="AE859">
        <v>10</v>
      </c>
      <c r="AF859" t="s">
        <v>126</v>
      </c>
      <c r="AG859">
        <v>0</v>
      </c>
      <c r="AH859">
        <v>0</v>
      </c>
      <c r="AI859">
        <v>2</v>
      </c>
      <c r="AJ859">
        <v>0</v>
      </c>
      <c r="AK859" t="s">
        <v>562</v>
      </c>
      <c r="AL859">
        <v>31.922708</v>
      </c>
      <c r="AM859" t="s">
        <v>563</v>
      </c>
      <c r="AN859">
        <v>-101.001863</v>
      </c>
      <c r="AQ859" t="s">
        <v>129</v>
      </c>
      <c r="AR859">
        <v>100</v>
      </c>
      <c r="AS859">
        <v>10</v>
      </c>
      <c r="AT859">
        <v>-64</v>
      </c>
      <c r="BB859" t="str">
        <f t="shared" si="103"/>
        <v>1200</v>
      </c>
      <c r="BC859">
        <v>1</v>
      </c>
      <c r="BD859" t="str">
        <f t="shared" si="105"/>
        <v xml:space="preserve">N745MB  </v>
      </c>
      <c r="BE859">
        <v>1</v>
      </c>
      <c r="BG859">
        <v>0</v>
      </c>
      <c r="BH859">
        <v>0</v>
      </c>
      <c r="BI859">
        <v>0</v>
      </c>
      <c r="BL859" t="s">
        <v>130</v>
      </c>
      <c r="BM859">
        <v>1</v>
      </c>
      <c r="BN859">
        <v>0</v>
      </c>
      <c r="BO859">
        <v>0</v>
      </c>
      <c r="BP859">
        <v>0</v>
      </c>
      <c r="BT859">
        <v>0</v>
      </c>
      <c r="BU859">
        <v>0</v>
      </c>
      <c r="CE859" t="str">
        <f>"20:25:31.254"</f>
        <v>20:25:31.254</v>
      </c>
      <c r="CF859">
        <v>254136905</v>
      </c>
      <c r="CS859">
        <v>0</v>
      </c>
      <c r="CT859">
        <v>2</v>
      </c>
      <c r="CU859">
        <v>0</v>
      </c>
      <c r="CV859">
        <v>2</v>
      </c>
      <c r="CW859">
        <v>0</v>
      </c>
      <c r="CX859">
        <v>1</v>
      </c>
      <c r="CY859">
        <v>7</v>
      </c>
      <c r="CZ859" t="s">
        <v>131</v>
      </c>
      <c r="DA859">
        <v>116</v>
      </c>
      <c r="DB859">
        <v>3</v>
      </c>
      <c r="DC859" t="s">
        <v>132</v>
      </c>
      <c r="DD859" t="s">
        <v>133</v>
      </c>
      <c r="DG859">
        <v>8398349</v>
      </c>
      <c r="DI859">
        <v>0</v>
      </c>
      <c r="DJ859">
        <v>0</v>
      </c>
      <c r="DK859">
        <v>1</v>
      </c>
      <c r="DL859">
        <v>0</v>
      </c>
      <c r="DM859">
        <v>0</v>
      </c>
      <c r="DN859">
        <v>0</v>
      </c>
      <c r="DO859">
        <v>0</v>
      </c>
      <c r="DP859">
        <v>1</v>
      </c>
      <c r="DQ859">
        <v>0</v>
      </c>
      <c r="DR859">
        <v>0</v>
      </c>
      <c r="DS859">
        <v>0</v>
      </c>
    </row>
    <row r="860" spans="1:123" x14ac:dyDescent="0.25">
      <c r="A860" t="str">
        <f>"11/29/2023 20:25:31.618"</f>
        <v>11/29/2023 20:25:31.618</v>
      </c>
      <c r="C860" t="str">
        <f t="shared" si="104"/>
        <v>FFDF53C0</v>
      </c>
      <c r="D860" t="s">
        <v>138</v>
      </c>
      <c r="E860">
        <v>3</v>
      </c>
      <c r="H860">
        <v>160</v>
      </c>
      <c r="I860" t="s">
        <v>124</v>
      </c>
      <c r="J860" t="s">
        <v>139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"20:25:31.250"</f>
        <v>20:25:31.250</v>
      </c>
      <c r="T860" t="str">
        <f>"20:25:31.150"</f>
        <v>20:25:31.150</v>
      </c>
      <c r="U860" t="str">
        <f t="shared" si="102"/>
        <v>AA0632</v>
      </c>
      <c r="V860">
        <v>0</v>
      </c>
      <c r="W860">
        <v>0</v>
      </c>
      <c r="X860">
        <v>2</v>
      </c>
      <c r="Y860">
        <v>0</v>
      </c>
      <c r="AA860">
        <v>0</v>
      </c>
      <c r="AB860">
        <v>9</v>
      </c>
      <c r="AC860">
        <v>3</v>
      </c>
      <c r="AD860">
        <v>0</v>
      </c>
      <c r="AE860">
        <v>10</v>
      </c>
      <c r="AF860" t="s">
        <v>126</v>
      </c>
      <c r="AG860">
        <v>0</v>
      </c>
      <c r="AH860">
        <v>0</v>
      </c>
      <c r="AI860">
        <v>2</v>
      </c>
      <c r="AJ860">
        <v>0</v>
      </c>
      <c r="AK860" t="s">
        <v>562</v>
      </c>
      <c r="AL860">
        <v>31.922708</v>
      </c>
      <c r="AM860" t="s">
        <v>563</v>
      </c>
      <c r="AN860">
        <v>-101.001863</v>
      </c>
      <c r="AQ860" t="s">
        <v>129</v>
      </c>
      <c r="AR860">
        <v>100</v>
      </c>
      <c r="AS860">
        <v>10</v>
      </c>
      <c r="AT860">
        <v>-64</v>
      </c>
      <c r="BB860" t="str">
        <f t="shared" si="103"/>
        <v>1200</v>
      </c>
      <c r="BC860">
        <v>1</v>
      </c>
      <c r="BD860" t="str">
        <f t="shared" si="105"/>
        <v xml:space="preserve">N745MB  </v>
      </c>
      <c r="BE860">
        <v>1</v>
      </c>
      <c r="BG860">
        <v>0</v>
      </c>
      <c r="BH860">
        <v>0</v>
      </c>
      <c r="BI860">
        <v>0</v>
      </c>
      <c r="BL860" t="s">
        <v>130</v>
      </c>
      <c r="BM860">
        <v>1</v>
      </c>
      <c r="BN860">
        <v>0</v>
      </c>
      <c r="BO860">
        <v>0</v>
      </c>
      <c r="BP860">
        <v>0</v>
      </c>
      <c r="BT860">
        <v>0</v>
      </c>
      <c r="BU860">
        <v>0</v>
      </c>
      <c r="CE860" t="str">
        <f>"20:25:31.254"</f>
        <v>20:25:31.254</v>
      </c>
      <c r="CF860">
        <v>254136905</v>
      </c>
      <c r="CS860">
        <v>0</v>
      </c>
      <c r="CT860">
        <v>2</v>
      </c>
      <c r="CU860">
        <v>0</v>
      </c>
      <c r="CV860">
        <v>2</v>
      </c>
      <c r="CW860">
        <v>0</v>
      </c>
      <c r="CX860">
        <v>1</v>
      </c>
      <c r="CY860">
        <v>7</v>
      </c>
      <c r="CZ860" t="s">
        <v>131</v>
      </c>
      <c r="DA860">
        <v>116</v>
      </c>
      <c r="DB860">
        <v>3</v>
      </c>
      <c r="DC860" t="s">
        <v>132</v>
      </c>
      <c r="DD860" t="s">
        <v>133</v>
      </c>
      <c r="DG860">
        <v>8398349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1</v>
      </c>
      <c r="DQ860">
        <v>0</v>
      </c>
      <c r="DR860">
        <v>0</v>
      </c>
      <c r="DS860">
        <v>0</v>
      </c>
    </row>
    <row r="861" spans="1:123" x14ac:dyDescent="0.25">
      <c r="A861" t="str">
        <f>"11/29/2023 20:25:33.024"</f>
        <v>11/29/2023 20:25:33.024</v>
      </c>
      <c r="C861" t="str">
        <f t="shared" si="104"/>
        <v>FFDF53C0</v>
      </c>
      <c r="D861" t="s">
        <v>138</v>
      </c>
      <c r="E861">
        <v>3</v>
      </c>
      <c r="H861">
        <v>160</v>
      </c>
      <c r="I861" t="s">
        <v>124</v>
      </c>
      <c r="J861" t="s">
        <v>139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"20:25:32.656"</f>
        <v>20:25:32.656</v>
      </c>
      <c r="T861" t="str">
        <f>"20:25:31.156"</f>
        <v>20:25:31.156</v>
      </c>
      <c r="U861" t="str">
        <f t="shared" si="102"/>
        <v>AA0632</v>
      </c>
      <c r="V861">
        <v>0</v>
      </c>
      <c r="W861">
        <v>0</v>
      </c>
      <c r="X861">
        <v>2</v>
      </c>
      <c r="Y861">
        <v>0</v>
      </c>
      <c r="AA861">
        <v>0</v>
      </c>
      <c r="AB861">
        <v>9</v>
      </c>
      <c r="AC861">
        <v>3</v>
      </c>
      <c r="AD861">
        <v>0</v>
      </c>
      <c r="AE861">
        <v>10</v>
      </c>
      <c r="AF861" t="s">
        <v>126</v>
      </c>
      <c r="AG861">
        <v>0</v>
      </c>
      <c r="AH861">
        <v>0</v>
      </c>
      <c r="AI861">
        <v>2</v>
      </c>
      <c r="AJ861">
        <v>0</v>
      </c>
      <c r="AK861" t="s">
        <v>564</v>
      </c>
      <c r="AL861">
        <v>31.922750000000001</v>
      </c>
      <c r="AM861" t="s">
        <v>565</v>
      </c>
      <c r="AN861">
        <v>-101.00111200000001</v>
      </c>
      <c r="AQ861" t="s">
        <v>129</v>
      </c>
      <c r="AR861">
        <v>100</v>
      </c>
      <c r="AS861">
        <v>10</v>
      </c>
      <c r="AT861">
        <v>-64</v>
      </c>
      <c r="BB861" t="str">
        <f t="shared" si="103"/>
        <v>1200</v>
      </c>
      <c r="BC861">
        <v>1</v>
      </c>
      <c r="BD861" t="str">
        <f t="shared" si="105"/>
        <v xml:space="preserve">N745MB  </v>
      </c>
      <c r="BE861">
        <v>1</v>
      </c>
      <c r="BG861">
        <v>0</v>
      </c>
      <c r="BH861">
        <v>0</v>
      </c>
      <c r="BI861">
        <v>0</v>
      </c>
      <c r="BL861" t="s">
        <v>130</v>
      </c>
      <c r="BM861">
        <v>1</v>
      </c>
      <c r="BN861">
        <v>0</v>
      </c>
      <c r="BO861">
        <v>0</v>
      </c>
      <c r="BP861">
        <v>0</v>
      </c>
      <c r="BT861">
        <v>0</v>
      </c>
      <c r="BU861">
        <v>0</v>
      </c>
      <c r="CE861" t="str">
        <f>"20:25:32.660"</f>
        <v>20:25:32.660</v>
      </c>
      <c r="CF861">
        <v>660038278</v>
      </c>
      <c r="CS861">
        <v>0</v>
      </c>
      <c r="CT861">
        <v>2</v>
      </c>
      <c r="CU861">
        <v>0</v>
      </c>
      <c r="CV861">
        <v>2</v>
      </c>
      <c r="CW861">
        <v>0</v>
      </c>
      <c r="CX861">
        <v>2</v>
      </c>
      <c r="CY861">
        <v>7</v>
      </c>
      <c r="CZ861" t="s">
        <v>131</v>
      </c>
      <c r="DA861">
        <v>116</v>
      </c>
      <c r="DB861">
        <v>0</v>
      </c>
      <c r="DC861" t="s">
        <v>132</v>
      </c>
      <c r="DD861" t="s">
        <v>133</v>
      </c>
      <c r="DG861">
        <v>14652268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1</v>
      </c>
      <c r="DQ861">
        <v>0</v>
      </c>
      <c r="DR861">
        <v>0</v>
      </c>
      <c r="DS861">
        <v>0</v>
      </c>
    </row>
    <row r="862" spans="1:123" x14ac:dyDescent="0.25">
      <c r="A862" t="str">
        <f>"11/29/2023 20:25:33.024"</f>
        <v>11/29/2023 20:25:33.024</v>
      </c>
      <c r="C862" t="str">
        <f t="shared" si="104"/>
        <v>FFDF53C0</v>
      </c>
      <c r="D862" t="s">
        <v>123</v>
      </c>
      <c r="E862">
        <v>1</v>
      </c>
      <c r="F862">
        <v>1001</v>
      </c>
      <c r="G862" t="s">
        <v>134</v>
      </c>
      <c r="J862" t="s">
        <v>125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"20:25:32.656"</f>
        <v>20:25:32.656</v>
      </c>
      <c r="T862" t="str">
        <f>"20:25:31.156"</f>
        <v>20:25:31.156</v>
      </c>
      <c r="U862" t="str">
        <f t="shared" si="102"/>
        <v>AA0632</v>
      </c>
      <c r="V862">
        <v>0</v>
      </c>
      <c r="W862">
        <v>0</v>
      </c>
      <c r="X862">
        <v>2</v>
      </c>
      <c r="Y862">
        <v>0</v>
      </c>
      <c r="AA862">
        <v>0</v>
      </c>
      <c r="AB862">
        <v>9</v>
      </c>
      <c r="AC862">
        <v>3</v>
      </c>
      <c r="AD862">
        <v>0</v>
      </c>
      <c r="AE862">
        <v>10</v>
      </c>
      <c r="AF862" t="s">
        <v>126</v>
      </c>
      <c r="AG862">
        <v>0</v>
      </c>
      <c r="AH862">
        <v>0</v>
      </c>
      <c r="AI862">
        <v>2</v>
      </c>
      <c r="AJ862">
        <v>0</v>
      </c>
      <c r="AK862" t="s">
        <v>564</v>
      </c>
      <c r="AL862">
        <v>31.922750000000001</v>
      </c>
      <c r="AM862" t="s">
        <v>565</v>
      </c>
      <c r="AN862">
        <v>-101.00111200000001</v>
      </c>
      <c r="AQ862" t="s">
        <v>129</v>
      </c>
      <c r="AR862">
        <v>100</v>
      </c>
      <c r="AS862">
        <v>10</v>
      </c>
      <c r="AT862">
        <v>-64</v>
      </c>
      <c r="BB862" t="str">
        <f t="shared" si="103"/>
        <v>1200</v>
      </c>
      <c r="BC862">
        <v>1</v>
      </c>
      <c r="BD862" t="str">
        <f t="shared" si="105"/>
        <v xml:space="preserve">N745MB  </v>
      </c>
      <c r="BE862">
        <v>1</v>
      </c>
      <c r="BG862">
        <v>0</v>
      </c>
      <c r="BH862">
        <v>0</v>
      </c>
      <c r="BI862">
        <v>0</v>
      </c>
      <c r="BL862" t="s">
        <v>130</v>
      </c>
      <c r="BM862">
        <v>1</v>
      </c>
      <c r="BN862">
        <v>0</v>
      </c>
      <c r="BO862">
        <v>0</v>
      </c>
      <c r="BP862">
        <v>0</v>
      </c>
      <c r="BT862">
        <v>0</v>
      </c>
      <c r="BU862">
        <v>0</v>
      </c>
      <c r="CE862" t="str">
        <f>"20:25:32.660"</f>
        <v>20:25:32.660</v>
      </c>
      <c r="CF862">
        <v>660038278</v>
      </c>
      <c r="CS862">
        <v>0</v>
      </c>
      <c r="CT862">
        <v>2</v>
      </c>
      <c r="CU862">
        <v>0</v>
      </c>
      <c r="CV862">
        <v>2</v>
      </c>
      <c r="CW862">
        <v>0</v>
      </c>
      <c r="CX862">
        <v>2</v>
      </c>
      <c r="CY862">
        <v>7</v>
      </c>
      <c r="CZ862" t="s">
        <v>131</v>
      </c>
      <c r="DA862">
        <v>116</v>
      </c>
      <c r="DB862">
        <v>0</v>
      </c>
      <c r="DC862" t="s">
        <v>132</v>
      </c>
      <c r="DD862" t="s">
        <v>133</v>
      </c>
      <c r="DG862">
        <v>14652268</v>
      </c>
      <c r="DI862">
        <v>0</v>
      </c>
      <c r="DJ862">
        <v>0</v>
      </c>
      <c r="DK862">
        <v>1</v>
      </c>
      <c r="DL862">
        <v>0</v>
      </c>
      <c r="DM862">
        <v>0</v>
      </c>
      <c r="DN862">
        <v>0</v>
      </c>
      <c r="DO862">
        <v>0</v>
      </c>
      <c r="DP862">
        <v>1</v>
      </c>
      <c r="DQ862">
        <v>0</v>
      </c>
      <c r="DR862">
        <v>0</v>
      </c>
      <c r="DS862">
        <v>0</v>
      </c>
    </row>
    <row r="863" spans="1:123" x14ac:dyDescent="0.25">
      <c r="A863" t="str">
        <f>"11/29/2023 20:25:33.024"</f>
        <v>11/29/2023 20:25:33.024</v>
      </c>
      <c r="C863" t="str">
        <f t="shared" si="104"/>
        <v>FFDF53C0</v>
      </c>
      <c r="D863" t="s">
        <v>135</v>
      </c>
      <c r="E863">
        <v>31</v>
      </c>
      <c r="H863">
        <v>285</v>
      </c>
      <c r="I863" t="s">
        <v>136</v>
      </c>
      <c r="J863" t="s">
        <v>137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"20:25:32.656"</f>
        <v>20:25:32.656</v>
      </c>
      <c r="T863" t="str">
        <f>"20:25:31.156"</f>
        <v>20:25:31.156</v>
      </c>
      <c r="U863" t="str">
        <f t="shared" si="102"/>
        <v>AA0632</v>
      </c>
      <c r="V863">
        <v>0</v>
      </c>
      <c r="W863">
        <v>0</v>
      </c>
      <c r="X863">
        <v>2</v>
      </c>
      <c r="Y863">
        <v>0</v>
      </c>
      <c r="AA863">
        <v>0</v>
      </c>
      <c r="AB863">
        <v>9</v>
      </c>
      <c r="AC863">
        <v>3</v>
      </c>
      <c r="AD863">
        <v>0</v>
      </c>
      <c r="AE863">
        <v>10</v>
      </c>
      <c r="AF863" t="s">
        <v>126</v>
      </c>
      <c r="AG863">
        <v>0</v>
      </c>
      <c r="AH863">
        <v>0</v>
      </c>
      <c r="AI863">
        <v>2</v>
      </c>
      <c r="AJ863">
        <v>0</v>
      </c>
      <c r="AK863" t="s">
        <v>564</v>
      </c>
      <c r="AL863">
        <v>31.922750000000001</v>
      </c>
      <c r="AM863" t="s">
        <v>565</v>
      </c>
      <c r="AN863">
        <v>-101.00111200000001</v>
      </c>
      <c r="AQ863" t="s">
        <v>129</v>
      </c>
      <c r="AR863">
        <v>100</v>
      </c>
      <c r="AS863">
        <v>10</v>
      </c>
      <c r="AT863">
        <v>-64</v>
      </c>
      <c r="BB863" t="str">
        <f t="shared" si="103"/>
        <v>1200</v>
      </c>
      <c r="BC863">
        <v>1</v>
      </c>
      <c r="BD863" t="str">
        <f t="shared" si="105"/>
        <v xml:space="preserve">N745MB  </v>
      </c>
      <c r="BE863">
        <v>1</v>
      </c>
      <c r="BG863">
        <v>0</v>
      </c>
      <c r="BH863">
        <v>0</v>
      </c>
      <c r="BI863">
        <v>0</v>
      </c>
      <c r="BL863" t="s">
        <v>130</v>
      </c>
      <c r="BM863">
        <v>1</v>
      </c>
      <c r="BN863">
        <v>0</v>
      </c>
      <c r="BO863">
        <v>0</v>
      </c>
      <c r="BP863">
        <v>0</v>
      </c>
      <c r="BT863">
        <v>0</v>
      </c>
      <c r="BU863">
        <v>0</v>
      </c>
      <c r="CE863" t="str">
        <f>"20:25:32.660"</f>
        <v>20:25:32.660</v>
      </c>
      <c r="CF863">
        <v>660038278</v>
      </c>
      <c r="CS863">
        <v>0</v>
      </c>
      <c r="CT863">
        <v>2</v>
      </c>
      <c r="CU863">
        <v>0</v>
      </c>
      <c r="CV863">
        <v>2</v>
      </c>
      <c r="CW863">
        <v>0</v>
      </c>
      <c r="CX863">
        <v>2</v>
      </c>
      <c r="CY863">
        <v>7</v>
      </c>
      <c r="CZ863" t="s">
        <v>131</v>
      </c>
      <c r="DA863">
        <v>116</v>
      </c>
      <c r="DB863">
        <v>0</v>
      </c>
      <c r="DC863" t="s">
        <v>132</v>
      </c>
      <c r="DD863" t="s">
        <v>133</v>
      </c>
      <c r="DG863">
        <v>14652268</v>
      </c>
      <c r="DI863">
        <v>0</v>
      </c>
      <c r="DJ863">
        <v>0</v>
      </c>
      <c r="DK863">
        <v>1</v>
      </c>
      <c r="DL863">
        <v>0</v>
      </c>
      <c r="DM863">
        <v>0</v>
      </c>
      <c r="DN863">
        <v>0</v>
      </c>
      <c r="DO863">
        <v>0</v>
      </c>
      <c r="DP863">
        <v>1</v>
      </c>
      <c r="DQ863">
        <v>0</v>
      </c>
      <c r="DR863">
        <v>0</v>
      </c>
      <c r="DS863">
        <v>0</v>
      </c>
    </row>
    <row r="864" spans="1:123" x14ac:dyDescent="0.25">
      <c r="A864" t="str">
        <f>"11/29/2023 20:25:33.024"</f>
        <v>11/29/2023 20:25:33.024</v>
      </c>
      <c r="C864" t="str">
        <f t="shared" si="104"/>
        <v>FFDF53C0</v>
      </c>
      <c r="D864" t="s">
        <v>123</v>
      </c>
      <c r="E864">
        <v>14</v>
      </c>
      <c r="F864">
        <v>1014</v>
      </c>
      <c r="G864" t="s">
        <v>124</v>
      </c>
      <c r="J864" t="s">
        <v>125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"20:25:32.656"</f>
        <v>20:25:32.656</v>
      </c>
      <c r="T864" t="str">
        <f>"20:25:31.156"</f>
        <v>20:25:31.156</v>
      </c>
      <c r="U864" t="str">
        <f t="shared" si="102"/>
        <v>AA0632</v>
      </c>
      <c r="V864">
        <v>0</v>
      </c>
      <c r="W864">
        <v>0</v>
      </c>
      <c r="X864">
        <v>2</v>
      </c>
      <c r="Y864">
        <v>0</v>
      </c>
      <c r="AA864">
        <v>0</v>
      </c>
      <c r="AB864">
        <v>9</v>
      </c>
      <c r="AC864">
        <v>3</v>
      </c>
      <c r="AD864">
        <v>0</v>
      </c>
      <c r="AE864">
        <v>10</v>
      </c>
      <c r="AF864" t="s">
        <v>126</v>
      </c>
      <c r="AG864">
        <v>0</v>
      </c>
      <c r="AH864">
        <v>0</v>
      </c>
      <c r="AI864">
        <v>2</v>
      </c>
      <c r="AJ864">
        <v>0</v>
      </c>
      <c r="AK864" t="s">
        <v>564</v>
      </c>
      <c r="AL864">
        <v>31.922750000000001</v>
      </c>
      <c r="AM864" t="s">
        <v>565</v>
      </c>
      <c r="AN864">
        <v>-101.00111200000001</v>
      </c>
      <c r="AQ864" t="s">
        <v>129</v>
      </c>
      <c r="AR864">
        <v>100</v>
      </c>
      <c r="AS864">
        <v>10</v>
      </c>
      <c r="AT864">
        <v>-64</v>
      </c>
      <c r="BB864" t="str">
        <f t="shared" si="103"/>
        <v>1200</v>
      </c>
      <c r="BC864">
        <v>1</v>
      </c>
      <c r="BD864" t="str">
        <f t="shared" si="105"/>
        <v xml:space="preserve">N745MB  </v>
      </c>
      <c r="BE864">
        <v>1</v>
      </c>
      <c r="BG864">
        <v>0</v>
      </c>
      <c r="BH864">
        <v>0</v>
      </c>
      <c r="BI864">
        <v>0</v>
      </c>
      <c r="BL864" t="s">
        <v>130</v>
      </c>
      <c r="BM864">
        <v>1</v>
      </c>
      <c r="BN864">
        <v>0</v>
      </c>
      <c r="BO864">
        <v>0</v>
      </c>
      <c r="BP864">
        <v>0</v>
      </c>
      <c r="BT864">
        <v>0</v>
      </c>
      <c r="BU864">
        <v>0</v>
      </c>
      <c r="CE864" t="str">
        <f>"20:25:32.660"</f>
        <v>20:25:32.660</v>
      </c>
      <c r="CF864">
        <v>660038278</v>
      </c>
      <c r="CS864">
        <v>0</v>
      </c>
      <c r="CT864">
        <v>2</v>
      </c>
      <c r="CU864">
        <v>0</v>
      </c>
      <c r="CV864">
        <v>2</v>
      </c>
      <c r="CW864">
        <v>0</v>
      </c>
      <c r="CX864">
        <v>2</v>
      </c>
      <c r="CY864">
        <v>7</v>
      </c>
      <c r="CZ864" t="s">
        <v>131</v>
      </c>
      <c r="DA864">
        <v>116</v>
      </c>
      <c r="DB864">
        <v>0</v>
      </c>
      <c r="DC864" t="s">
        <v>132</v>
      </c>
      <c r="DD864" t="s">
        <v>133</v>
      </c>
      <c r="DG864">
        <v>14652268</v>
      </c>
      <c r="DI864">
        <v>0</v>
      </c>
      <c r="DJ864">
        <v>0</v>
      </c>
      <c r="DK864">
        <v>1</v>
      </c>
      <c r="DL864">
        <v>0</v>
      </c>
      <c r="DM864">
        <v>0</v>
      </c>
      <c r="DN864">
        <v>0</v>
      </c>
      <c r="DO864">
        <v>0</v>
      </c>
      <c r="DP864">
        <v>1</v>
      </c>
      <c r="DQ864">
        <v>0</v>
      </c>
      <c r="DR864">
        <v>0</v>
      </c>
      <c r="DS864">
        <v>0</v>
      </c>
    </row>
    <row r="865" spans="1:123" x14ac:dyDescent="0.25">
      <c r="A865" t="str">
        <f>"11/29/2023 20:25:34.258"</f>
        <v>11/29/2023 20:25:34.258</v>
      </c>
      <c r="C865" t="str">
        <f t="shared" si="104"/>
        <v>FFDF53C0</v>
      </c>
      <c r="D865" t="s">
        <v>138</v>
      </c>
      <c r="E865">
        <v>3</v>
      </c>
      <c r="H865">
        <v>160</v>
      </c>
      <c r="I865" t="s">
        <v>124</v>
      </c>
      <c r="J865" t="s">
        <v>139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"20:25:33.945"</f>
        <v>20:25:33.945</v>
      </c>
      <c r="T865" t="str">
        <f>"20:25:33.545"</f>
        <v>20:25:33.545</v>
      </c>
      <c r="U865" t="str">
        <f t="shared" si="102"/>
        <v>AA0632</v>
      </c>
      <c r="V865">
        <v>0</v>
      </c>
      <c r="W865">
        <v>0</v>
      </c>
      <c r="X865">
        <v>2</v>
      </c>
      <c r="Y865">
        <v>0</v>
      </c>
      <c r="AA865">
        <v>0</v>
      </c>
      <c r="AB865">
        <v>9</v>
      </c>
      <c r="AC865">
        <v>3</v>
      </c>
      <c r="AD865">
        <v>0</v>
      </c>
      <c r="AE865">
        <v>10</v>
      </c>
      <c r="AF865" t="s">
        <v>126</v>
      </c>
      <c r="AG865">
        <v>0</v>
      </c>
      <c r="AH865">
        <v>0</v>
      </c>
      <c r="AI865">
        <v>2</v>
      </c>
      <c r="AJ865">
        <v>0</v>
      </c>
      <c r="AK865" t="s">
        <v>566</v>
      </c>
      <c r="AL865">
        <v>31.922815</v>
      </c>
      <c r="AM865" t="s">
        <v>567</v>
      </c>
      <c r="AN865">
        <v>-101.000404</v>
      </c>
      <c r="AQ865" t="s">
        <v>129</v>
      </c>
      <c r="AR865">
        <v>100</v>
      </c>
      <c r="AS865">
        <v>9</v>
      </c>
      <c r="AT865">
        <v>192</v>
      </c>
      <c r="BB865" t="str">
        <f t="shared" si="103"/>
        <v>1200</v>
      </c>
      <c r="BC865">
        <v>1</v>
      </c>
      <c r="BD865" t="str">
        <f t="shared" si="105"/>
        <v xml:space="preserve">N745MB  </v>
      </c>
      <c r="BE865">
        <v>1</v>
      </c>
      <c r="BG865">
        <v>0</v>
      </c>
      <c r="BH865">
        <v>0</v>
      </c>
      <c r="BI865">
        <v>0</v>
      </c>
      <c r="BL865" t="s">
        <v>130</v>
      </c>
      <c r="BM865">
        <v>1</v>
      </c>
      <c r="BN865">
        <v>0</v>
      </c>
      <c r="BO865">
        <v>0</v>
      </c>
      <c r="BP865">
        <v>0</v>
      </c>
      <c r="BT865">
        <v>0</v>
      </c>
      <c r="BU865">
        <v>0</v>
      </c>
      <c r="CE865" t="str">
        <f>"20:25:33.948"</f>
        <v>20:25:33.948</v>
      </c>
      <c r="CF865">
        <v>947974880</v>
      </c>
      <c r="CS865">
        <v>0</v>
      </c>
      <c r="CT865">
        <v>2</v>
      </c>
      <c r="CU865">
        <v>0</v>
      </c>
      <c r="CV865">
        <v>2</v>
      </c>
      <c r="CW865">
        <v>0</v>
      </c>
      <c r="CX865">
        <v>5</v>
      </c>
      <c r="CY865">
        <v>7</v>
      </c>
      <c r="CZ865" t="s">
        <v>131</v>
      </c>
      <c r="DA865">
        <v>116</v>
      </c>
      <c r="DB865">
        <v>0</v>
      </c>
      <c r="DC865" t="s">
        <v>132</v>
      </c>
      <c r="DD865" t="s">
        <v>133</v>
      </c>
      <c r="DG865">
        <v>14653413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1</v>
      </c>
      <c r="DQ865">
        <v>0</v>
      </c>
      <c r="DR865">
        <v>0</v>
      </c>
      <c r="DS865">
        <v>0</v>
      </c>
    </row>
    <row r="866" spans="1:123" x14ac:dyDescent="0.25">
      <c r="A866" t="str">
        <f>"11/29/2023 20:25:34.258"</f>
        <v>11/29/2023 20:25:34.258</v>
      </c>
      <c r="C866" t="str">
        <f t="shared" si="104"/>
        <v>FFDF53C0</v>
      </c>
      <c r="D866" t="s">
        <v>123</v>
      </c>
      <c r="E866">
        <v>1</v>
      </c>
      <c r="F866">
        <v>1001</v>
      </c>
      <c r="G866" t="s">
        <v>134</v>
      </c>
      <c r="J866" t="s">
        <v>125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"20:25:33.945"</f>
        <v>20:25:33.945</v>
      </c>
      <c r="T866" t="str">
        <f>"20:25:33.545"</f>
        <v>20:25:33.545</v>
      </c>
      <c r="U866" t="str">
        <f t="shared" si="102"/>
        <v>AA0632</v>
      </c>
      <c r="V866">
        <v>0</v>
      </c>
      <c r="W866">
        <v>0</v>
      </c>
      <c r="X866">
        <v>2</v>
      </c>
      <c r="Y866">
        <v>0</v>
      </c>
      <c r="AA866">
        <v>0</v>
      </c>
      <c r="AB866">
        <v>9</v>
      </c>
      <c r="AC866">
        <v>3</v>
      </c>
      <c r="AD866">
        <v>0</v>
      </c>
      <c r="AE866">
        <v>10</v>
      </c>
      <c r="AF866" t="s">
        <v>126</v>
      </c>
      <c r="AG866">
        <v>0</v>
      </c>
      <c r="AH866">
        <v>0</v>
      </c>
      <c r="AI866">
        <v>2</v>
      </c>
      <c r="AJ866">
        <v>0</v>
      </c>
      <c r="AK866" t="s">
        <v>566</v>
      </c>
      <c r="AL866">
        <v>31.922815</v>
      </c>
      <c r="AM866" t="s">
        <v>567</v>
      </c>
      <c r="AN866">
        <v>-101.000404</v>
      </c>
      <c r="AQ866" t="s">
        <v>129</v>
      </c>
      <c r="AR866">
        <v>100</v>
      </c>
      <c r="AS866">
        <v>9</v>
      </c>
      <c r="AT866">
        <v>192</v>
      </c>
      <c r="BB866" t="str">
        <f t="shared" si="103"/>
        <v>1200</v>
      </c>
      <c r="BC866">
        <v>1</v>
      </c>
      <c r="BD866" t="str">
        <f t="shared" si="105"/>
        <v xml:space="preserve">N745MB  </v>
      </c>
      <c r="BE866">
        <v>1</v>
      </c>
      <c r="BG866">
        <v>0</v>
      </c>
      <c r="BH866">
        <v>0</v>
      </c>
      <c r="BI866">
        <v>0</v>
      </c>
      <c r="BL866" t="s">
        <v>130</v>
      </c>
      <c r="BM866">
        <v>1</v>
      </c>
      <c r="BN866">
        <v>0</v>
      </c>
      <c r="BO866">
        <v>0</v>
      </c>
      <c r="BP866">
        <v>0</v>
      </c>
      <c r="BT866">
        <v>0</v>
      </c>
      <c r="BU866">
        <v>0</v>
      </c>
      <c r="CE866" t="str">
        <f>"20:25:33.948"</f>
        <v>20:25:33.948</v>
      </c>
      <c r="CF866">
        <v>947974880</v>
      </c>
      <c r="CS866">
        <v>0</v>
      </c>
      <c r="CT866">
        <v>2</v>
      </c>
      <c r="CU866">
        <v>0</v>
      </c>
      <c r="CV866">
        <v>2</v>
      </c>
      <c r="CW866">
        <v>0</v>
      </c>
      <c r="CX866">
        <v>5</v>
      </c>
      <c r="CY866">
        <v>7</v>
      </c>
      <c r="CZ866" t="s">
        <v>131</v>
      </c>
      <c r="DA866">
        <v>116</v>
      </c>
      <c r="DB866">
        <v>0</v>
      </c>
      <c r="DC866" t="s">
        <v>132</v>
      </c>
      <c r="DD866" t="s">
        <v>133</v>
      </c>
      <c r="DG866">
        <v>14653413</v>
      </c>
      <c r="DI866">
        <v>0</v>
      </c>
      <c r="DJ866">
        <v>0</v>
      </c>
      <c r="DK866">
        <v>1</v>
      </c>
      <c r="DL866">
        <v>0</v>
      </c>
      <c r="DM866">
        <v>0</v>
      </c>
      <c r="DN866">
        <v>0</v>
      </c>
      <c r="DO866">
        <v>0</v>
      </c>
      <c r="DP866">
        <v>1</v>
      </c>
      <c r="DQ866">
        <v>0</v>
      </c>
      <c r="DR866">
        <v>0</v>
      </c>
      <c r="DS866">
        <v>0</v>
      </c>
    </row>
    <row r="867" spans="1:123" x14ac:dyDescent="0.25">
      <c r="A867" t="str">
        <f>"11/29/2023 20:25:34.258"</f>
        <v>11/29/2023 20:25:34.258</v>
      </c>
      <c r="C867" t="str">
        <f t="shared" si="104"/>
        <v>FFDF53C0</v>
      </c>
      <c r="D867" t="s">
        <v>135</v>
      </c>
      <c r="E867">
        <v>31</v>
      </c>
      <c r="H867">
        <v>285</v>
      </c>
      <c r="I867" t="s">
        <v>136</v>
      </c>
      <c r="J867" t="s">
        <v>137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"20:25:33.945"</f>
        <v>20:25:33.945</v>
      </c>
      <c r="T867" t="str">
        <f>"20:25:33.545"</f>
        <v>20:25:33.545</v>
      </c>
      <c r="U867" t="str">
        <f t="shared" si="102"/>
        <v>AA0632</v>
      </c>
      <c r="V867">
        <v>0</v>
      </c>
      <c r="W867">
        <v>0</v>
      </c>
      <c r="X867">
        <v>2</v>
      </c>
      <c r="Y867">
        <v>0</v>
      </c>
      <c r="AA867">
        <v>0</v>
      </c>
      <c r="AB867">
        <v>9</v>
      </c>
      <c r="AC867">
        <v>3</v>
      </c>
      <c r="AD867">
        <v>0</v>
      </c>
      <c r="AE867">
        <v>10</v>
      </c>
      <c r="AF867" t="s">
        <v>126</v>
      </c>
      <c r="AG867">
        <v>0</v>
      </c>
      <c r="AH867">
        <v>0</v>
      </c>
      <c r="AI867">
        <v>2</v>
      </c>
      <c r="AJ867">
        <v>0</v>
      </c>
      <c r="AK867" t="s">
        <v>566</v>
      </c>
      <c r="AL867">
        <v>31.922815</v>
      </c>
      <c r="AM867" t="s">
        <v>567</v>
      </c>
      <c r="AN867">
        <v>-101.000404</v>
      </c>
      <c r="AQ867" t="s">
        <v>129</v>
      </c>
      <c r="AR867">
        <v>100</v>
      </c>
      <c r="AS867">
        <v>9</v>
      </c>
      <c r="AT867">
        <v>192</v>
      </c>
      <c r="BB867" t="str">
        <f t="shared" si="103"/>
        <v>1200</v>
      </c>
      <c r="BC867">
        <v>1</v>
      </c>
      <c r="BD867" t="str">
        <f t="shared" si="105"/>
        <v xml:space="preserve">N745MB  </v>
      </c>
      <c r="BE867">
        <v>1</v>
      </c>
      <c r="BG867">
        <v>0</v>
      </c>
      <c r="BH867">
        <v>0</v>
      </c>
      <c r="BI867">
        <v>0</v>
      </c>
      <c r="BL867" t="s">
        <v>130</v>
      </c>
      <c r="BM867">
        <v>1</v>
      </c>
      <c r="BN867">
        <v>0</v>
      </c>
      <c r="BO867">
        <v>0</v>
      </c>
      <c r="BP867">
        <v>0</v>
      </c>
      <c r="BT867">
        <v>0</v>
      </c>
      <c r="BU867">
        <v>0</v>
      </c>
      <c r="CE867" t="str">
        <f>"20:25:33.948"</f>
        <v>20:25:33.948</v>
      </c>
      <c r="CF867">
        <v>947974880</v>
      </c>
      <c r="CS867">
        <v>0</v>
      </c>
      <c r="CT867">
        <v>2</v>
      </c>
      <c r="CU867">
        <v>0</v>
      </c>
      <c r="CV867">
        <v>2</v>
      </c>
      <c r="CW867">
        <v>0</v>
      </c>
      <c r="CX867">
        <v>5</v>
      </c>
      <c r="CY867">
        <v>7</v>
      </c>
      <c r="CZ867" t="s">
        <v>131</v>
      </c>
      <c r="DA867">
        <v>116</v>
      </c>
      <c r="DB867">
        <v>0</v>
      </c>
      <c r="DC867" t="s">
        <v>132</v>
      </c>
      <c r="DD867" t="s">
        <v>133</v>
      </c>
      <c r="DG867">
        <v>14653413</v>
      </c>
      <c r="DI867">
        <v>0</v>
      </c>
      <c r="DJ867">
        <v>0</v>
      </c>
      <c r="DK867">
        <v>1</v>
      </c>
      <c r="DL867">
        <v>0</v>
      </c>
      <c r="DM867">
        <v>0</v>
      </c>
      <c r="DN867">
        <v>0</v>
      </c>
      <c r="DO867">
        <v>0</v>
      </c>
      <c r="DP867">
        <v>1</v>
      </c>
      <c r="DQ867">
        <v>0</v>
      </c>
      <c r="DR867">
        <v>0</v>
      </c>
      <c r="DS867">
        <v>0</v>
      </c>
    </row>
    <row r="868" spans="1:123" x14ac:dyDescent="0.25">
      <c r="A868" t="str">
        <f>"11/29/2023 20:25:34.258"</f>
        <v>11/29/2023 20:25:34.258</v>
      </c>
      <c r="C868" t="str">
        <f t="shared" si="104"/>
        <v>FFDF53C0</v>
      </c>
      <c r="D868" t="s">
        <v>123</v>
      </c>
      <c r="E868">
        <v>14</v>
      </c>
      <c r="F868">
        <v>1014</v>
      </c>
      <c r="G868" t="s">
        <v>124</v>
      </c>
      <c r="J868" t="s">
        <v>125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"20:25:33.945"</f>
        <v>20:25:33.945</v>
      </c>
      <c r="T868" t="str">
        <f>"20:25:33.545"</f>
        <v>20:25:33.545</v>
      </c>
      <c r="U868" t="str">
        <f t="shared" si="102"/>
        <v>AA0632</v>
      </c>
      <c r="V868">
        <v>0</v>
      </c>
      <c r="W868">
        <v>0</v>
      </c>
      <c r="X868">
        <v>2</v>
      </c>
      <c r="Y868">
        <v>0</v>
      </c>
      <c r="AA868">
        <v>0</v>
      </c>
      <c r="AB868">
        <v>9</v>
      </c>
      <c r="AC868">
        <v>3</v>
      </c>
      <c r="AD868">
        <v>0</v>
      </c>
      <c r="AE868">
        <v>10</v>
      </c>
      <c r="AF868" t="s">
        <v>126</v>
      </c>
      <c r="AG868">
        <v>0</v>
      </c>
      <c r="AH868">
        <v>0</v>
      </c>
      <c r="AI868">
        <v>2</v>
      </c>
      <c r="AJ868">
        <v>0</v>
      </c>
      <c r="AK868" t="s">
        <v>566</v>
      </c>
      <c r="AL868">
        <v>31.922815</v>
      </c>
      <c r="AM868" t="s">
        <v>567</v>
      </c>
      <c r="AN868">
        <v>-101.000404</v>
      </c>
      <c r="AQ868" t="s">
        <v>129</v>
      </c>
      <c r="AR868">
        <v>100</v>
      </c>
      <c r="AS868">
        <v>9</v>
      </c>
      <c r="AT868">
        <v>192</v>
      </c>
      <c r="BB868" t="str">
        <f t="shared" si="103"/>
        <v>1200</v>
      </c>
      <c r="BC868">
        <v>1</v>
      </c>
      <c r="BD868" t="str">
        <f t="shared" si="105"/>
        <v xml:space="preserve">N745MB  </v>
      </c>
      <c r="BE868">
        <v>1</v>
      </c>
      <c r="BG868">
        <v>0</v>
      </c>
      <c r="BH868">
        <v>0</v>
      </c>
      <c r="BI868">
        <v>0</v>
      </c>
      <c r="BL868" t="s">
        <v>130</v>
      </c>
      <c r="BM868">
        <v>1</v>
      </c>
      <c r="BN868">
        <v>0</v>
      </c>
      <c r="BO868">
        <v>0</v>
      </c>
      <c r="BP868">
        <v>0</v>
      </c>
      <c r="BT868">
        <v>0</v>
      </c>
      <c r="BU868">
        <v>0</v>
      </c>
      <c r="CE868" t="str">
        <f>"20:25:33.948"</f>
        <v>20:25:33.948</v>
      </c>
      <c r="CF868">
        <v>947974880</v>
      </c>
      <c r="CS868">
        <v>0</v>
      </c>
      <c r="CT868">
        <v>2</v>
      </c>
      <c r="CU868">
        <v>0</v>
      </c>
      <c r="CV868">
        <v>2</v>
      </c>
      <c r="CW868">
        <v>0</v>
      </c>
      <c r="CX868">
        <v>5</v>
      </c>
      <c r="CY868">
        <v>7</v>
      </c>
      <c r="CZ868" t="s">
        <v>131</v>
      </c>
      <c r="DA868">
        <v>116</v>
      </c>
      <c r="DB868">
        <v>0</v>
      </c>
      <c r="DC868" t="s">
        <v>132</v>
      </c>
      <c r="DD868" t="s">
        <v>133</v>
      </c>
      <c r="DG868">
        <v>14653413</v>
      </c>
      <c r="DI868">
        <v>0</v>
      </c>
      <c r="DJ868">
        <v>0</v>
      </c>
      <c r="DK868">
        <v>1</v>
      </c>
      <c r="DL868">
        <v>0</v>
      </c>
      <c r="DM868">
        <v>0</v>
      </c>
      <c r="DN868">
        <v>0</v>
      </c>
      <c r="DO868">
        <v>0</v>
      </c>
      <c r="DP868">
        <v>1</v>
      </c>
      <c r="DQ868">
        <v>0</v>
      </c>
      <c r="DR868">
        <v>0</v>
      </c>
      <c r="DS868">
        <v>0</v>
      </c>
    </row>
    <row r="869" spans="1:123" x14ac:dyDescent="0.25">
      <c r="A869" t="str">
        <f>"11/29/2023 20:25:35.040"</f>
        <v>11/29/2023 20:25:35.040</v>
      </c>
      <c r="C869" t="str">
        <f t="shared" si="104"/>
        <v>FFDF53C0</v>
      </c>
      <c r="D869" t="s">
        <v>164</v>
      </c>
      <c r="E869">
        <v>24</v>
      </c>
      <c r="F869">
        <v>2024</v>
      </c>
      <c r="G869" t="s">
        <v>165</v>
      </c>
      <c r="J869" t="s">
        <v>166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"20:25:34.438"</f>
        <v>20:25:34.438</v>
      </c>
      <c r="T869" t="str">
        <f>"20:25:30.137"</f>
        <v>20:25:30.137</v>
      </c>
      <c r="U869" t="str">
        <f t="shared" si="102"/>
        <v>AA0632</v>
      </c>
      <c r="V869">
        <v>0</v>
      </c>
      <c r="W869">
        <v>0</v>
      </c>
      <c r="X869">
        <v>2</v>
      </c>
      <c r="Y869">
        <v>0</v>
      </c>
      <c r="AA869">
        <v>0</v>
      </c>
      <c r="AB869">
        <v>9</v>
      </c>
      <c r="AC869">
        <v>3</v>
      </c>
      <c r="AD869">
        <v>0</v>
      </c>
      <c r="AE869">
        <v>10</v>
      </c>
      <c r="AF869" t="s">
        <v>126</v>
      </c>
      <c r="AG869">
        <v>0</v>
      </c>
      <c r="AH869">
        <v>0</v>
      </c>
      <c r="AI869">
        <v>2</v>
      </c>
      <c r="AJ869">
        <v>0</v>
      </c>
      <c r="AK869" t="s">
        <v>568</v>
      </c>
      <c r="AL869">
        <v>31.922836</v>
      </c>
      <c r="AM869" t="s">
        <v>569</v>
      </c>
      <c r="AN869">
        <v>-101.000125</v>
      </c>
      <c r="AQ869" t="s">
        <v>129</v>
      </c>
      <c r="AR869">
        <v>100</v>
      </c>
      <c r="AS869">
        <v>11</v>
      </c>
      <c r="AT869">
        <v>-128</v>
      </c>
      <c r="BB869" t="str">
        <f t="shared" si="103"/>
        <v>1200</v>
      </c>
      <c r="BC869">
        <v>1</v>
      </c>
      <c r="BD869" t="str">
        <f t="shared" si="105"/>
        <v xml:space="preserve">N745MB  </v>
      </c>
      <c r="BE869">
        <v>1</v>
      </c>
      <c r="BG869">
        <v>0</v>
      </c>
      <c r="BH869">
        <v>0</v>
      </c>
      <c r="BI869">
        <v>0</v>
      </c>
      <c r="BL869" t="s">
        <v>130</v>
      </c>
      <c r="BM869">
        <v>1</v>
      </c>
      <c r="BN869">
        <v>0</v>
      </c>
      <c r="BO869">
        <v>0</v>
      </c>
      <c r="BP869">
        <v>0</v>
      </c>
      <c r="BT869">
        <v>0</v>
      </c>
      <c r="BU869">
        <v>0</v>
      </c>
      <c r="CE869" t="str">
        <f>"20:25:34.442"</f>
        <v>20:25:34.442</v>
      </c>
      <c r="CF869">
        <v>441928322</v>
      </c>
      <c r="CS869">
        <v>0</v>
      </c>
      <c r="CT869">
        <v>2</v>
      </c>
      <c r="CU869">
        <v>0</v>
      </c>
      <c r="CV869">
        <v>2</v>
      </c>
      <c r="CW869">
        <v>0</v>
      </c>
      <c r="CX869">
        <v>2</v>
      </c>
      <c r="CY869">
        <v>7</v>
      </c>
      <c r="CZ869" t="s">
        <v>131</v>
      </c>
      <c r="DA869">
        <v>483</v>
      </c>
      <c r="DB869">
        <v>1</v>
      </c>
      <c r="DC869" t="s">
        <v>169</v>
      </c>
      <c r="DD869" t="s">
        <v>170</v>
      </c>
      <c r="DG869">
        <v>7373229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1</v>
      </c>
      <c r="DQ869">
        <v>0</v>
      </c>
      <c r="DR869">
        <v>0</v>
      </c>
      <c r="DS869">
        <v>0</v>
      </c>
    </row>
    <row r="870" spans="1:123" x14ac:dyDescent="0.25">
      <c r="A870" t="str">
        <f>"11/29/2023 20:25:35.040"</f>
        <v>11/29/2023 20:25:35.040</v>
      </c>
      <c r="C870" t="str">
        <f t="shared" si="104"/>
        <v>FFDF53C0</v>
      </c>
      <c r="D870" t="s">
        <v>138</v>
      </c>
      <c r="E870">
        <v>3</v>
      </c>
      <c r="H870">
        <v>160</v>
      </c>
      <c r="I870" t="s">
        <v>124</v>
      </c>
      <c r="J870" t="s">
        <v>139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>"20:25:34.438"</f>
        <v>20:25:34.438</v>
      </c>
      <c r="T870" t="str">
        <f>"20:25:30.137"</f>
        <v>20:25:30.137</v>
      </c>
      <c r="U870" t="str">
        <f t="shared" si="102"/>
        <v>AA0632</v>
      </c>
      <c r="V870">
        <v>0</v>
      </c>
      <c r="W870">
        <v>0</v>
      </c>
      <c r="X870">
        <v>2</v>
      </c>
      <c r="Y870">
        <v>0</v>
      </c>
      <c r="AA870">
        <v>0</v>
      </c>
      <c r="AB870">
        <v>9</v>
      </c>
      <c r="AC870">
        <v>3</v>
      </c>
      <c r="AD870">
        <v>0</v>
      </c>
      <c r="AE870">
        <v>10</v>
      </c>
      <c r="AF870" t="s">
        <v>126</v>
      </c>
      <c r="AG870">
        <v>0</v>
      </c>
      <c r="AH870">
        <v>0</v>
      </c>
      <c r="AI870">
        <v>2</v>
      </c>
      <c r="AJ870">
        <v>0</v>
      </c>
      <c r="AK870" t="s">
        <v>568</v>
      </c>
      <c r="AL870">
        <v>31.922836</v>
      </c>
      <c r="AM870" t="s">
        <v>569</v>
      </c>
      <c r="AN870">
        <v>-101.000125</v>
      </c>
      <c r="AQ870" t="s">
        <v>129</v>
      </c>
      <c r="AR870">
        <v>100</v>
      </c>
      <c r="AS870">
        <v>11</v>
      </c>
      <c r="AT870">
        <v>-128</v>
      </c>
      <c r="BB870" t="str">
        <f t="shared" si="103"/>
        <v>1200</v>
      </c>
      <c r="BC870">
        <v>1</v>
      </c>
      <c r="BD870" t="str">
        <f t="shared" si="105"/>
        <v xml:space="preserve">N745MB  </v>
      </c>
      <c r="BE870">
        <v>1</v>
      </c>
      <c r="BG870">
        <v>0</v>
      </c>
      <c r="BH870">
        <v>0</v>
      </c>
      <c r="BI870">
        <v>0</v>
      </c>
      <c r="BL870" t="s">
        <v>130</v>
      </c>
      <c r="BM870">
        <v>1</v>
      </c>
      <c r="BN870">
        <v>0</v>
      </c>
      <c r="BO870">
        <v>0</v>
      </c>
      <c r="BP870">
        <v>0</v>
      </c>
      <c r="BT870">
        <v>0</v>
      </c>
      <c r="BU870">
        <v>0</v>
      </c>
      <c r="CE870" t="str">
        <f>"20:25:34.442"</f>
        <v>20:25:34.442</v>
      </c>
      <c r="CF870">
        <v>441928322</v>
      </c>
      <c r="CS870">
        <v>0</v>
      </c>
      <c r="CT870">
        <v>2</v>
      </c>
      <c r="CU870">
        <v>0</v>
      </c>
      <c r="CV870">
        <v>2</v>
      </c>
      <c r="CW870">
        <v>0</v>
      </c>
      <c r="CX870">
        <v>2</v>
      </c>
      <c r="CY870">
        <v>7</v>
      </c>
      <c r="CZ870" t="s">
        <v>131</v>
      </c>
      <c r="DA870">
        <v>483</v>
      </c>
      <c r="DB870">
        <v>1</v>
      </c>
      <c r="DC870" t="s">
        <v>169</v>
      </c>
      <c r="DD870" t="s">
        <v>170</v>
      </c>
      <c r="DG870">
        <v>7373229</v>
      </c>
      <c r="DI870">
        <v>0</v>
      </c>
      <c r="DJ870">
        <v>0</v>
      </c>
      <c r="DK870">
        <v>1</v>
      </c>
      <c r="DL870">
        <v>0</v>
      </c>
      <c r="DM870">
        <v>0</v>
      </c>
      <c r="DN870">
        <v>0</v>
      </c>
      <c r="DO870">
        <v>0</v>
      </c>
      <c r="DP870">
        <v>1</v>
      </c>
      <c r="DQ870">
        <v>0</v>
      </c>
      <c r="DR870">
        <v>0</v>
      </c>
      <c r="DS870">
        <v>0</v>
      </c>
    </row>
    <row r="871" spans="1:123" x14ac:dyDescent="0.25">
      <c r="A871" t="str">
        <f>"11/29/2023 20:25:35.087"</f>
        <v>11/29/2023 20:25:35.087</v>
      </c>
      <c r="C871" t="str">
        <f t="shared" si="104"/>
        <v>FFDF53C0</v>
      </c>
      <c r="D871" t="s">
        <v>123</v>
      </c>
      <c r="E871">
        <v>14</v>
      </c>
      <c r="F871">
        <v>1014</v>
      </c>
      <c r="G871" t="s">
        <v>124</v>
      </c>
      <c r="J871" t="s">
        <v>125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>"20:25:34.438"</f>
        <v>20:25:34.438</v>
      </c>
      <c r="T871" t="str">
        <f>"20:25:30.137"</f>
        <v>20:25:30.137</v>
      </c>
      <c r="U871" t="str">
        <f t="shared" si="102"/>
        <v>AA0632</v>
      </c>
      <c r="V871">
        <v>0</v>
      </c>
      <c r="W871">
        <v>0</v>
      </c>
      <c r="X871">
        <v>2</v>
      </c>
      <c r="Y871">
        <v>0</v>
      </c>
      <c r="AA871">
        <v>0</v>
      </c>
      <c r="AB871">
        <v>9</v>
      </c>
      <c r="AC871">
        <v>3</v>
      </c>
      <c r="AD871">
        <v>0</v>
      </c>
      <c r="AE871">
        <v>10</v>
      </c>
      <c r="AF871" t="s">
        <v>126</v>
      </c>
      <c r="AG871">
        <v>0</v>
      </c>
      <c r="AH871">
        <v>0</v>
      </c>
      <c r="AI871">
        <v>2</v>
      </c>
      <c r="AJ871">
        <v>0</v>
      </c>
      <c r="AK871" t="s">
        <v>568</v>
      </c>
      <c r="AL871">
        <v>31.922836</v>
      </c>
      <c r="AM871" t="s">
        <v>569</v>
      </c>
      <c r="AN871">
        <v>-101.000125</v>
      </c>
      <c r="AQ871" t="s">
        <v>129</v>
      </c>
      <c r="AR871">
        <v>100</v>
      </c>
      <c r="AS871">
        <v>11</v>
      </c>
      <c r="AT871">
        <v>-128</v>
      </c>
      <c r="BB871" t="str">
        <f t="shared" si="103"/>
        <v>1200</v>
      </c>
      <c r="BC871">
        <v>1</v>
      </c>
      <c r="BD871" t="str">
        <f t="shared" si="105"/>
        <v xml:space="preserve">N745MB  </v>
      </c>
      <c r="BE871">
        <v>1</v>
      </c>
      <c r="BG871">
        <v>0</v>
      </c>
      <c r="BH871">
        <v>0</v>
      </c>
      <c r="BI871">
        <v>0</v>
      </c>
      <c r="BL871" t="s">
        <v>130</v>
      </c>
      <c r="BM871">
        <v>1</v>
      </c>
      <c r="BN871">
        <v>0</v>
      </c>
      <c r="BO871">
        <v>0</v>
      </c>
      <c r="BP871">
        <v>0</v>
      </c>
      <c r="BT871">
        <v>0</v>
      </c>
      <c r="BU871">
        <v>0</v>
      </c>
      <c r="CE871" t="str">
        <f>"20:25:34.442"</f>
        <v>20:25:34.442</v>
      </c>
      <c r="CF871">
        <v>441928322</v>
      </c>
      <c r="CS871">
        <v>0</v>
      </c>
      <c r="CT871">
        <v>2</v>
      </c>
      <c r="CU871">
        <v>0</v>
      </c>
      <c r="CV871">
        <v>2</v>
      </c>
      <c r="CW871">
        <v>0</v>
      </c>
      <c r="CX871">
        <v>2</v>
      </c>
      <c r="CY871">
        <v>7</v>
      </c>
      <c r="CZ871" t="s">
        <v>131</v>
      </c>
      <c r="DA871">
        <v>483</v>
      </c>
      <c r="DB871">
        <v>1</v>
      </c>
      <c r="DC871" t="s">
        <v>169</v>
      </c>
      <c r="DD871" t="s">
        <v>170</v>
      </c>
      <c r="DG871">
        <v>7373229</v>
      </c>
      <c r="DI871">
        <v>0</v>
      </c>
      <c r="DJ871">
        <v>0</v>
      </c>
      <c r="DK871">
        <v>1</v>
      </c>
      <c r="DL871">
        <v>0</v>
      </c>
      <c r="DM871">
        <v>0</v>
      </c>
      <c r="DN871">
        <v>0</v>
      </c>
      <c r="DO871">
        <v>0</v>
      </c>
      <c r="DP871">
        <v>1</v>
      </c>
      <c r="DQ871">
        <v>0</v>
      </c>
      <c r="DR871">
        <v>0</v>
      </c>
      <c r="DS871">
        <v>0</v>
      </c>
    </row>
    <row r="872" spans="1:123" x14ac:dyDescent="0.25">
      <c r="A872" t="str">
        <f>"11/29/2023 20:25:35.868"</f>
        <v>11/29/2023 20:25:35.868</v>
      </c>
      <c r="C872" t="str">
        <f t="shared" si="104"/>
        <v>FFDF53C0</v>
      </c>
      <c r="D872" t="s">
        <v>138</v>
      </c>
      <c r="E872">
        <v>3</v>
      </c>
      <c r="H872">
        <v>160</v>
      </c>
      <c r="I872" t="s">
        <v>124</v>
      </c>
      <c r="J872" t="s">
        <v>139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>"20:25:35.578"</f>
        <v>20:25:35.578</v>
      </c>
      <c r="T872" t="str">
        <f>"20:25:34.578"</f>
        <v>20:25:34.578</v>
      </c>
      <c r="U872" t="str">
        <f t="shared" si="102"/>
        <v>AA0632</v>
      </c>
      <c r="V872">
        <v>0</v>
      </c>
      <c r="W872">
        <v>0</v>
      </c>
      <c r="X872">
        <v>2</v>
      </c>
      <c r="Y872">
        <v>0</v>
      </c>
      <c r="AA872">
        <v>0</v>
      </c>
      <c r="AB872">
        <v>9</v>
      </c>
      <c r="AC872">
        <v>3</v>
      </c>
      <c r="AD872">
        <v>0</v>
      </c>
      <c r="AE872">
        <v>10</v>
      </c>
      <c r="AF872" t="s">
        <v>126</v>
      </c>
      <c r="AG872">
        <v>0</v>
      </c>
      <c r="AH872">
        <v>0</v>
      </c>
      <c r="AI872">
        <v>2</v>
      </c>
      <c r="AJ872">
        <v>0</v>
      </c>
      <c r="AK872" t="s">
        <v>512</v>
      </c>
      <c r="AL872">
        <v>31.922878999999998</v>
      </c>
      <c r="AM872" t="s">
        <v>570</v>
      </c>
      <c r="AN872">
        <v>-100.999503</v>
      </c>
      <c r="AQ872" t="s">
        <v>129</v>
      </c>
      <c r="AR872">
        <v>100</v>
      </c>
      <c r="AS872">
        <v>9</v>
      </c>
      <c r="AT872">
        <v>256</v>
      </c>
      <c r="BB872" t="str">
        <f t="shared" si="103"/>
        <v>1200</v>
      </c>
      <c r="BC872">
        <v>1</v>
      </c>
      <c r="BD872" t="str">
        <f t="shared" si="105"/>
        <v xml:space="preserve">N745MB  </v>
      </c>
      <c r="BE872">
        <v>1</v>
      </c>
      <c r="BG872">
        <v>0</v>
      </c>
      <c r="BH872">
        <v>0</v>
      </c>
      <c r="BI872">
        <v>0</v>
      </c>
      <c r="BL872" t="s">
        <v>130</v>
      </c>
      <c r="BM872">
        <v>1</v>
      </c>
      <c r="BN872">
        <v>0</v>
      </c>
      <c r="BO872">
        <v>0</v>
      </c>
      <c r="BP872">
        <v>0</v>
      </c>
      <c r="BT872">
        <v>0</v>
      </c>
      <c r="BU872">
        <v>0</v>
      </c>
      <c r="CE872" t="str">
        <f>"20:25:35.584"</f>
        <v>20:25:35.584</v>
      </c>
      <c r="CF872">
        <v>583840276</v>
      </c>
      <c r="CS872">
        <v>0</v>
      </c>
      <c r="CT872">
        <v>2</v>
      </c>
      <c r="CU872">
        <v>0</v>
      </c>
      <c r="CV872">
        <v>2</v>
      </c>
      <c r="CW872">
        <v>0</v>
      </c>
      <c r="CX872">
        <v>4</v>
      </c>
      <c r="CY872">
        <v>7</v>
      </c>
      <c r="CZ872" t="s">
        <v>131</v>
      </c>
      <c r="DA872">
        <v>116</v>
      </c>
      <c r="DB872">
        <v>0</v>
      </c>
      <c r="DC872" t="s">
        <v>132</v>
      </c>
      <c r="DD872" t="s">
        <v>133</v>
      </c>
      <c r="DG872">
        <v>14654811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1</v>
      </c>
      <c r="DQ872">
        <v>0</v>
      </c>
      <c r="DR872">
        <v>0</v>
      </c>
      <c r="DS872">
        <v>0</v>
      </c>
    </row>
    <row r="873" spans="1:123" x14ac:dyDescent="0.25">
      <c r="A873" t="str">
        <f>"11/29/2023 20:25:35.868"</f>
        <v>11/29/2023 20:25:35.868</v>
      </c>
      <c r="C873" t="str">
        <f t="shared" si="104"/>
        <v>FFDF53C0</v>
      </c>
      <c r="D873" t="s">
        <v>164</v>
      </c>
      <c r="E873">
        <v>24</v>
      </c>
      <c r="F873">
        <v>2024</v>
      </c>
      <c r="G873" t="s">
        <v>165</v>
      </c>
      <c r="J873" t="s">
        <v>166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>"20:25:35.578"</f>
        <v>20:25:35.578</v>
      </c>
      <c r="T873" t="str">
        <f>"20:25:35.178"</f>
        <v>20:25:35.178</v>
      </c>
      <c r="U873" t="str">
        <f t="shared" si="102"/>
        <v>AA0632</v>
      </c>
      <c r="V873">
        <v>0</v>
      </c>
      <c r="W873">
        <v>0</v>
      </c>
      <c r="X873">
        <v>2</v>
      </c>
      <c r="Y873">
        <v>0</v>
      </c>
      <c r="AA873">
        <v>0</v>
      </c>
      <c r="AB873">
        <v>9</v>
      </c>
      <c r="AC873">
        <v>3</v>
      </c>
      <c r="AD873">
        <v>0</v>
      </c>
      <c r="AE873">
        <v>10</v>
      </c>
      <c r="AF873" t="s">
        <v>126</v>
      </c>
      <c r="AG873">
        <v>0</v>
      </c>
      <c r="AH873">
        <v>0</v>
      </c>
      <c r="AI873">
        <v>2</v>
      </c>
      <c r="AJ873">
        <v>0</v>
      </c>
      <c r="AK873" t="s">
        <v>512</v>
      </c>
      <c r="AL873">
        <v>31.922878999999998</v>
      </c>
      <c r="AM873" t="s">
        <v>570</v>
      </c>
      <c r="AN873">
        <v>-100.999503</v>
      </c>
      <c r="AQ873" t="s">
        <v>129</v>
      </c>
      <c r="AR873">
        <v>99</v>
      </c>
      <c r="AS873">
        <v>9</v>
      </c>
      <c r="AT873">
        <v>192</v>
      </c>
      <c r="BB873" t="str">
        <f t="shared" si="103"/>
        <v>1200</v>
      </c>
      <c r="BC873">
        <v>1</v>
      </c>
      <c r="BD873" t="str">
        <f t="shared" si="105"/>
        <v xml:space="preserve">N745MB  </v>
      </c>
      <c r="BE873">
        <v>1</v>
      </c>
      <c r="BG873">
        <v>0</v>
      </c>
      <c r="BH873">
        <v>0</v>
      </c>
      <c r="BI873">
        <v>0</v>
      </c>
      <c r="BL873" t="s">
        <v>130</v>
      </c>
      <c r="BM873">
        <v>1</v>
      </c>
      <c r="BN873">
        <v>0</v>
      </c>
      <c r="BO873">
        <v>0</v>
      </c>
      <c r="BP873">
        <v>0</v>
      </c>
      <c r="BT873">
        <v>0</v>
      </c>
      <c r="BU873">
        <v>0</v>
      </c>
      <c r="CE873" t="str">
        <f>"20:25:35.584"</f>
        <v>20:25:35.584</v>
      </c>
      <c r="CF873">
        <v>583849568</v>
      </c>
      <c r="CS873">
        <v>0</v>
      </c>
      <c r="CT873">
        <v>2</v>
      </c>
      <c r="CU873">
        <v>0</v>
      </c>
      <c r="CV873">
        <v>2</v>
      </c>
      <c r="CW873">
        <v>0</v>
      </c>
      <c r="CX873">
        <v>2</v>
      </c>
      <c r="CY873">
        <v>7</v>
      </c>
      <c r="CZ873" t="s">
        <v>131</v>
      </c>
      <c r="DA873">
        <v>483</v>
      </c>
      <c r="DB873">
        <v>1</v>
      </c>
      <c r="DC873" t="s">
        <v>169</v>
      </c>
      <c r="DD873" t="s">
        <v>170</v>
      </c>
      <c r="DG873">
        <v>7373391</v>
      </c>
      <c r="DI873">
        <v>0</v>
      </c>
      <c r="DJ873">
        <v>0</v>
      </c>
      <c r="DK873">
        <v>1</v>
      </c>
      <c r="DL873">
        <v>0</v>
      </c>
      <c r="DM873">
        <v>0</v>
      </c>
      <c r="DN873">
        <v>0</v>
      </c>
      <c r="DO873">
        <v>0</v>
      </c>
      <c r="DP873">
        <v>1</v>
      </c>
      <c r="DQ873">
        <v>0</v>
      </c>
      <c r="DR873">
        <v>0</v>
      </c>
      <c r="DS873">
        <v>0</v>
      </c>
    </row>
    <row r="874" spans="1:123" x14ac:dyDescent="0.25">
      <c r="A874" t="str">
        <f>"11/29/2023 20:25:35.868"</f>
        <v>11/29/2023 20:25:35.868</v>
      </c>
      <c r="C874" t="str">
        <f t="shared" si="104"/>
        <v>FFDF53C0</v>
      </c>
      <c r="D874" t="s">
        <v>123</v>
      </c>
      <c r="E874">
        <v>14</v>
      </c>
      <c r="F874">
        <v>1014</v>
      </c>
      <c r="G874" t="s">
        <v>124</v>
      </c>
      <c r="J874" t="s">
        <v>125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>"20:25:35.578"</f>
        <v>20:25:35.578</v>
      </c>
      <c r="T874" t="str">
        <f>"20:25:34.578"</f>
        <v>20:25:34.578</v>
      </c>
      <c r="U874" t="str">
        <f t="shared" si="102"/>
        <v>AA0632</v>
      </c>
      <c r="V874">
        <v>0</v>
      </c>
      <c r="W874">
        <v>0</v>
      </c>
      <c r="X874">
        <v>2</v>
      </c>
      <c r="Y874">
        <v>0</v>
      </c>
      <c r="AA874">
        <v>0</v>
      </c>
      <c r="AB874">
        <v>9</v>
      </c>
      <c r="AC874">
        <v>3</v>
      </c>
      <c r="AD874">
        <v>0</v>
      </c>
      <c r="AE874">
        <v>10</v>
      </c>
      <c r="AF874" t="s">
        <v>126</v>
      </c>
      <c r="AG874">
        <v>0</v>
      </c>
      <c r="AH874">
        <v>0</v>
      </c>
      <c r="AI874">
        <v>2</v>
      </c>
      <c r="AJ874">
        <v>0</v>
      </c>
      <c r="AK874" t="s">
        <v>512</v>
      </c>
      <c r="AL874">
        <v>31.922878999999998</v>
      </c>
      <c r="AM874" t="s">
        <v>570</v>
      </c>
      <c r="AN874">
        <v>-100.999503</v>
      </c>
      <c r="AQ874" t="s">
        <v>129</v>
      </c>
      <c r="AR874">
        <v>100</v>
      </c>
      <c r="AS874">
        <v>9</v>
      </c>
      <c r="AT874">
        <v>256</v>
      </c>
      <c r="BB874" t="str">
        <f t="shared" si="103"/>
        <v>1200</v>
      </c>
      <c r="BC874">
        <v>1</v>
      </c>
      <c r="BD874" t="str">
        <f t="shared" si="105"/>
        <v xml:space="preserve">N745MB  </v>
      </c>
      <c r="BE874">
        <v>1</v>
      </c>
      <c r="BG874">
        <v>0</v>
      </c>
      <c r="BH874">
        <v>0</v>
      </c>
      <c r="BI874">
        <v>0</v>
      </c>
      <c r="BL874" t="s">
        <v>130</v>
      </c>
      <c r="BM874">
        <v>1</v>
      </c>
      <c r="BN874">
        <v>0</v>
      </c>
      <c r="BO874">
        <v>0</v>
      </c>
      <c r="BP874">
        <v>0</v>
      </c>
      <c r="BT874">
        <v>0</v>
      </c>
      <c r="BU874">
        <v>0</v>
      </c>
      <c r="CE874" t="str">
        <f>"20:25:35.584"</f>
        <v>20:25:35.584</v>
      </c>
      <c r="CF874">
        <v>583840276</v>
      </c>
      <c r="CS874">
        <v>0</v>
      </c>
      <c r="CT874">
        <v>2</v>
      </c>
      <c r="CU874">
        <v>0</v>
      </c>
      <c r="CV874">
        <v>2</v>
      </c>
      <c r="CW874">
        <v>0</v>
      </c>
      <c r="CX874">
        <v>4</v>
      </c>
      <c r="CY874">
        <v>7</v>
      </c>
      <c r="CZ874" t="s">
        <v>131</v>
      </c>
      <c r="DA874">
        <v>116</v>
      </c>
      <c r="DB874">
        <v>0</v>
      </c>
      <c r="DC874" t="s">
        <v>132</v>
      </c>
      <c r="DD874" t="s">
        <v>133</v>
      </c>
      <c r="DG874">
        <v>14654811</v>
      </c>
      <c r="DI874">
        <v>0</v>
      </c>
      <c r="DJ874">
        <v>0</v>
      </c>
      <c r="DK874">
        <v>1</v>
      </c>
      <c r="DL874">
        <v>0</v>
      </c>
      <c r="DM874">
        <v>0</v>
      </c>
      <c r="DN874">
        <v>0</v>
      </c>
      <c r="DO874">
        <v>0</v>
      </c>
      <c r="DP874">
        <v>1</v>
      </c>
      <c r="DQ874">
        <v>0</v>
      </c>
      <c r="DR874">
        <v>0</v>
      </c>
      <c r="DS874">
        <v>0</v>
      </c>
    </row>
    <row r="875" spans="1:123" x14ac:dyDescent="0.25">
      <c r="A875" t="str">
        <f>"11/29/2023 20:25:35.868"</f>
        <v>11/29/2023 20:25:35.868</v>
      </c>
      <c r="C875" t="str">
        <f t="shared" si="104"/>
        <v>FFDF53C0</v>
      </c>
      <c r="D875" t="s">
        <v>123</v>
      </c>
      <c r="E875">
        <v>1</v>
      </c>
      <c r="F875">
        <v>1001</v>
      </c>
      <c r="G875" t="s">
        <v>134</v>
      </c>
      <c r="J875" t="s">
        <v>125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"20:25:35.578"</f>
        <v>20:25:35.578</v>
      </c>
      <c r="T875" t="str">
        <f>"20:25:34.578"</f>
        <v>20:25:34.578</v>
      </c>
      <c r="U875" t="str">
        <f t="shared" si="102"/>
        <v>AA0632</v>
      </c>
      <c r="V875">
        <v>0</v>
      </c>
      <c r="W875">
        <v>0</v>
      </c>
      <c r="X875">
        <v>2</v>
      </c>
      <c r="Y875">
        <v>0</v>
      </c>
      <c r="AA875">
        <v>0</v>
      </c>
      <c r="AB875">
        <v>9</v>
      </c>
      <c r="AC875">
        <v>3</v>
      </c>
      <c r="AD875">
        <v>0</v>
      </c>
      <c r="AE875">
        <v>10</v>
      </c>
      <c r="AF875" t="s">
        <v>126</v>
      </c>
      <c r="AG875">
        <v>0</v>
      </c>
      <c r="AH875">
        <v>0</v>
      </c>
      <c r="AI875">
        <v>2</v>
      </c>
      <c r="AJ875">
        <v>0</v>
      </c>
      <c r="AK875" t="s">
        <v>512</v>
      </c>
      <c r="AL875">
        <v>31.922878999999998</v>
      </c>
      <c r="AM875" t="s">
        <v>570</v>
      </c>
      <c r="AN875">
        <v>-100.999503</v>
      </c>
      <c r="AQ875" t="s">
        <v>129</v>
      </c>
      <c r="AR875">
        <v>100</v>
      </c>
      <c r="AS875">
        <v>9</v>
      </c>
      <c r="AT875">
        <v>256</v>
      </c>
      <c r="BB875" t="str">
        <f t="shared" si="103"/>
        <v>1200</v>
      </c>
      <c r="BC875">
        <v>1</v>
      </c>
      <c r="BD875" t="str">
        <f t="shared" si="105"/>
        <v xml:space="preserve">N745MB  </v>
      </c>
      <c r="BE875">
        <v>1</v>
      </c>
      <c r="BG875">
        <v>0</v>
      </c>
      <c r="BH875">
        <v>0</v>
      </c>
      <c r="BI875">
        <v>0</v>
      </c>
      <c r="BL875" t="s">
        <v>130</v>
      </c>
      <c r="BM875">
        <v>1</v>
      </c>
      <c r="BN875">
        <v>0</v>
      </c>
      <c r="BO875">
        <v>0</v>
      </c>
      <c r="BP875">
        <v>0</v>
      </c>
      <c r="BT875">
        <v>0</v>
      </c>
      <c r="BU875">
        <v>0</v>
      </c>
      <c r="CE875" t="str">
        <f>"20:25:35.584"</f>
        <v>20:25:35.584</v>
      </c>
      <c r="CF875">
        <v>583840276</v>
      </c>
      <c r="CS875">
        <v>0</v>
      </c>
      <c r="CT875">
        <v>2</v>
      </c>
      <c r="CU875">
        <v>0</v>
      </c>
      <c r="CV875">
        <v>2</v>
      </c>
      <c r="CW875">
        <v>0</v>
      </c>
      <c r="CX875">
        <v>4</v>
      </c>
      <c r="CY875">
        <v>7</v>
      </c>
      <c r="CZ875" t="s">
        <v>131</v>
      </c>
      <c r="DA875">
        <v>116</v>
      </c>
      <c r="DB875">
        <v>0</v>
      </c>
      <c r="DC875" t="s">
        <v>132</v>
      </c>
      <c r="DD875" t="s">
        <v>133</v>
      </c>
      <c r="DG875">
        <v>14654811</v>
      </c>
      <c r="DI875">
        <v>0</v>
      </c>
      <c r="DJ875">
        <v>0</v>
      </c>
      <c r="DK875">
        <v>1</v>
      </c>
      <c r="DL875">
        <v>0</v>
      </c>
      <c r="DM875">
        <v>0</v>
      </c>
      <c r="DN875">
        <v>0</v>
      </c>
      <c r="DO875">
        <v>0</v>
      </c>
      <c r="DP875">
        <v>1</v>
      </c>
      <c r="DQ875">
        <v>0</v>
      </c>
      <c r="DR875">
        <v>0</v>
      </c>
      <c r="DS875">
        <v>0</v>
      </c>
    </row>
    <row r="876" spans="1:123" x14ac:dyDescent="0.25">
      <c r="A876" t="str">
        <f>"11/29/2023 20:25:35.868"</f>
        <v>11/29/2023 20:25:35.868</v>
      </c>
      <c r="C876" t="str">
        <f t="shared" si="104"/>
        <v>FFDF53C0</v>
      </c>
      <c r="D876" t="s">
        <v>135</v>
      </c>
      <c r="E876">
        <v>31</v>
      </c>
      <c r="H876">
        <v>285</v>
      </c>
      <c r="I876" t="s">
        <v>136</v>
      </c>
      <c r="J876" t="s">
        <v>137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>"20:25:35.578"</f>
        <v>20:25:35.578</v>
      </c>
      <c r="T876" t="str">
        <f>"20:25:34.578"</f>
        <v>20:25:34.578</v>
      </c>
      <c r="U876" t="str">
        <f t="shared" si="102"/>
        <v>AA0632</v>
      </c>
      <c r="V876">
        <v>0</v>
      </c>
      <c r="W876">
        <v>0</v>
      </c>
      <c r="X876">
        <v>2</v>
      </c>
      <c r="Y876">
        <v>0</v>
      </c>
      <c r="AA876">
        <v>0</v>
      </c>
      <c r="AB876">
        <v>9</v>
      </c>
      <c r="AC876">
        <v>3</v>
      </c>
      <c r="AD876">
        <v>0</v>
      </c>
      <c r="AE876">
        <v>10</v>
      </c>
      <c r="AF876" t="s">
        <v>126</v>
      </c>
      <c r="AG876">
        <v>0</v>
      </c>
      <c r="AH876">
        <v>0</v>
      </c>
      <c r="AI876">
        <v>2</v>
      </c>
      <c r="AJ876">
        <v>0</v>
      </c>
      <c r="AK876" t="s">
        <v>512</v>
      </c>
      <c r="AL876">
        <v>31.922878999999998</v>
      </c>
      <c r="AM876" t="s">
        <v>570</v>
      </c>
      <c r="AN876">
        <v>-100.999503</v>
      </c>
      <c r="AQ876" t="s">
        <v>129</v>
      </c>
      <c r="AR876">
        <v>100</v>
      </c>
      <c r="AS876">
        <v>9</v>
      </c>
      <c r="AT876">
        <v>256</v>
      </c>
      <c r="BB876" t="str">
        <f t="shared" si="103"/>
        <v>1200</v>
      </c>
      <c r="BC876">
        <v>1</v>
      </c>
      <c r="BD876" t="str">
        <f t="shared" si="105"/>
        <v xml:space="preserve">N745MB  </v>
      </c>
      <c r="BE876">
        <v>1</v>
      </c>
      <c r="BG876">
        <v>0</v>
      </c>
      <c r="BH876">
        <v>0</v>
      </c>
      <c r="BI876">
        <v>0</v>
      </c>
      <c r="BL876" t="s">
        <v>130</v>
      </c>
      <c r="BM876">
        <v>1</v>
      </c>
      <c r="BN876">
        <v>0</v>
      </c>
      <c r="BO876">
        <v>0</v>
      </c>
      <c r="BP876">
        <v>0</v>
      </c>
      <c r="BT876">
        <v>0</v>
      </c>
      <c r="BU876">
        <v>0</v>
      </c>
      <c r="CE876" t="str">
        <f>"20:25:35.584"</f>
        <v>20:25:35.584</v>
      </c>
      <c r="CF876">
        <v>583840276</v>
      </c>
      <c r="CS876">
        <v>0</v>
      </c>
      <c r="CT876">
        <v>2</v>
      </c>
      <c r="CU876">
        <v>0</v>
      </c>
      <c r="CV876">
        <v>2</v>
      </c>
      <c r="CW876">
        <v>0</v>
      </c>
      <c r="CX876">
        <v>4</v>
      </c>
      <c r="CY876">
        <v>7</v>
      </c>
      <c r="CZ876" t="s">
        <v>131</v>
      </c>
      <c r="DA876">
        <v>116</v>
      </c>
      <c r="DB876">
        <v>0</v>
      </c>
      <c r="DC876" t="s">
        <v>132</v>
      </c>
      <c r="DD876" t="s">
        <v>133</v>
      </c>
      <c r="DG876">
        <v>14654811</v>
      </c>
      <c r="DI876">
        <v>0</v>
      </c>
      <c r="DJ876">
        <v>0</v>
      </c>
      <c r="DK876">
        <v>1</v>
      </c>
      <c r="DL876">
        <v>0</v>
      </c>
      <c r="DM876">
        <v>0</v>
      </c>
      <c r="DN876">
        <v>0</v>
      </c>
      <c r="DO876">
        <v>0</v>
      </c>
      <c r="DP876">
        <v>1</v>
      </c>
      <c r="DQ876">
        <v>0</v>
      </c>
      <c r="DR876">
        <v>0</v>
      </c>
      <c r="DS876">
        <v>0</v>
      </c>
    </row>
    <row r="877" spans="1:123" x14ac:dyDescent="0.25">
      <c r="A877" t="str">
        <f>"11/29/2023 20:25:37.430"</f>
        <v>11/29/2023 20:25:37.430</v>
      </c>
      <c r="C877" t="str">
        <f t="shared" si="104"/>
        <v>FFDF53C0</v>
      </c>
      <c r="D877" t="s">
        <v>138</v>
      </c>
      <c r="E877">
        <v>3</v>
      </c>
      <c r="H877">
        <v>160</v>
      </c>
      <c r="I877" t="s">
        <v>124</v>
      </c>
      <c r="J877" t="s">
        <v>139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"20:25:36.992"</f>
        <v>20:25:36.992</v>
      </c>
      <c r="T877" t="str">
        <f>"20:25:36.692"</f>
        <v>20:25:36.692</v>
      </c>
      <c r="U877" t="str">
        <f t="shared" si="102"/>
        <v>AA0632</v>
      </c>
      <c r="V877">
        <v>0</v>
      </c>
      <c r="W877">
        <v>0</v>
      </c>
      <c r="X877">
        <v>2</v>
      </c>
      <c r="Y877">
        <v>0</v>
      </c>
      <c r="AA877">
        <v>0</v>
      </c>
      <c r="AB877">
        <v>9</v>
      </c>
      <c r="AC877">
        <v>3</v>
      </c>
      <c r="AD877">
        <v>0</v>
      </c>
      <c r="AE877">
        <v>10</v>
      </c>
      <c r="AF877" t="s">
        <v>126</v>
      </c>
      <c r="AG877">
        <v>0</v>
      </c>
      <c r="AH877">
        <v>0</v>
      </c>
      <c r="AI877">
        <v>2</v>
      </c>
      <c r="AJ877">
        <v>0</v>
      </c>
      <c r="AK877" t="s">
        <v>510</v>
      </c>
      <c r="AL877">
        <v>31.922922</v>
      </c>
      <c r="AM877" t="s">
        <v>571</v>
      </c>
      <c r="AN877">
        <v>-100.998752</v>
      </c>
      <c r="AQ877" t="s">
        <v>129</v>
      </c>
      <c r="AR877">
        <v>98</v>
      </c>
      <c r="AS877">
        <v>8</v>
      </c>
      <c r="AT877">
        <v>256</v>
      </c>
      <c r="BB877" t="str">
        <f t="shared" si="103"/>
        <v>1200</v>
      </c>
      <c r="BC877">
        <v>1</v>
      </c>
      <c r="BD877" t="str">
        <f t="shared" si="105"/>
        <v xml:space="preserve">N745MB  </v>
      </c>
      <c r="BE877">
        <v>1</v>
      </c>
      <c r="BG877">
        <v>0</v>
      </c>
      <c r="BH877">
        <v>0</v>
      </c>
      <c r="BI877">
        <v>0</v>
      </c>
      <c r="BL877" t="s">
        <v>130</v>
      </c>
      <c r="BM877">
        <v>1</v>
      </c>
      <c r="BN877">
        <v>0</v>
      </c>
      <c r="BO877">
        <v>0</v>
      </c>
      <c r="BP877">
        <v>0</v>
      </c>
      <c r="BT877">
        <v>0</v>
      </c>
      <c r="BU877">
        <v>0</v>
      </c>
      <c r="CE877" t="str">
        <f>"20:25:37.000"</f>
        <v>20:25:37.000</v>
      </c>
      <c r="CF877">
        <v>999747418</v>
      </c>
      <c r="CS877">
        <v>0</v>
      </c>
      <c r="CT877">
        <v>2</v>
      </c>
      <c r="CU877">
        <v>0</v>
      </c>
      <c r="CV877">
        <v>2</v>
      </c>
      <c r="CW877">
        <v>0</v>
      </c>
      <c r="CX877">
        <v>4</v>
      </c>
      <c r="CY877">
        <v>7</v>
      </c>
      <c r="CZ877" t="s">
        <v>131</v>
      </c>
      <c r="DA877">
        <v>116</v>
      </c>
      <c r="DB877">
        <v>3</v>
      </c>
      <c r="DC877" t="s">
        <v>132</v>
      </c>
      <c r="DD877" t="s">
        <v>133</v>
      </c>
      <c r="DG877">
        <v>8401472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1</v>
      </c>
      <c r="DQ877">
        <v>0</v>
      </c>
      <c r="DR877">
        <v>0</v>
      </c>
      <c r="DS877">
        <v>0</v>
      </c>
    </row>
    <row r="878" spans="1:123" x14ac:dyDescent="0.25">
      <c r="A878" t="str">
        <f>"11/29/2023 20:25:37.430"</f>
        <v>11/29/2023 20:25:37.430</v>
      </c>
      <c r="C878" t="str">
        <f t="shared" si="104"/>
        <v>FFDF53C0</v>
      </c>
      <c r="D878" t="s">
        <v>123</v>
      </c>
      <c r="E878">
        <v>1</v>
      </c>
      <c r="F878">
        <v>1001</v>
      </c>
      <c r="G878" t="s">
        <v>134</v>
      </c>
      <c r="J878" t="s">
        <v>125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"20:25:36.992"</f>
        <v>20:25:36.992</v>
      </c>
      <c r="T878" t="str">
        <f>"20:25:36.692"</f>
        <v>20:25:36.692</v>
      </c>
      <c r="U878" t="str">
        <f t="shared" si="102"/>
        <v>AA0632</v>
      </c>
      <c r="V878">
        <v>0</v>
      </c>
      <c r="W878">
        <v>0</v>
      </c>
      <c r="X878">
        <v>2</v>
      </c>
      <c r="Y878">
        <v>0</v>
      </c>
      <c r="AA878">
        <v>0</v>
      </c>
      <c r="AB878">
        <v>9</v>
      </c>
      <c r="AC878">
        <v>3</v>
      </c>
      <c r="AD878">
        <v>0</v>
      </c>
      <c r="AE878">
        <v>10</v>
      </c>
      <c r="AF878" t="s">
        <v>126</v>
      </c>
      <c r="AG878">
        <v>0</v>
      </c>
      <c r="AH878">
        <v>0</v>
      </c>
      <c r="AI878">
        <v>2</v>
      </c>
      <c r="AJ878">
        <v>0</v>
      </c>
      <c r="AK878" t="s">
        <v>510</v>
      </c>
      <c r="AL878">
        <v>31.922922</v>
      </c>
      <c r="AM878" t="s">
        <v>571</v>
      </c>
      <c r="AN878">
        <v>-100.998752</v>
      </c>
      <c r="AQ878" t="s">
        <v>129</v>
      </c>
      <c r="AR878">
        <v>98</v>
      </c>
      <c r="AS878">
        <v>8</v>
      </c>
      <c r="AT878">
        <v>256</v>
      </c>
      <c r="BB878" t="str">
        <f t="shared" si="103"/>
        <v>1200</v>
      </c>
      <c r="BC878">
        <v>1</v>
      </c>
      <c r="BD878" t="str">
        <f t="shared" si="105"/>
        <v xml:space="preserve">N745MB  </v>
      </c>
      <c r="BE878">
        <v>1</v>
      </c>
      <c r="BG878">
        <v>0</v>
      </c>
      <c r="BH878">
        <v>0</v>
      </c>
      <c r="BI878">
        <v>0</v>
      </c>
      <c r="BL878" t="s">
        <v>130</v>
      </c>
      <c r="BM878">
        <v>1</v>
      </c>
      <c r="BN878">
        <v>0</v>
      </c>
      <c r="BO878">
        <v>0</v>
      </c>
      <c r="BP878">
        <v>0</v>
      </c>
      <c r="BT878">
        <v>0</v>
      </c>
      <c r="BU878">
        <v>0</v>
      </c>
      <c r="CE878" t="str">
        <f>"20:25:37.000"</f>
        <v>20:25:37.000</v>
      </c>
      <c r="CF878">
        <v>999747418</v>
      </c>
      <c r="CS878">
        <v>0</v>
      </c>
      <c r="CT878">
        <v>2</v>
      </c>
      <c r="CU878">
        <v>0</v>
      </c>
      <c r="CV878">
        <v>2</v>
      </c>
      <c r="CW878">
        <v>0</v>
      </c>
      <c r="CX878">
        <v>4</v>
      </c>
      <c r="CY878">
        <v>7</v>
      </c>
      <c r="CZ878" t="s">
        <v>131</v>
      </c>
      <c r="DA878">
        <v>116</v>
      </c>
      <c r="DB878">
        <v>3</v>
      </c>
      <c r="DC878" t="s">
        <v>132</v>
      </c>
      <c r="DD878" t="s">
        <v>133</v>
      </c>
      <c r="DG878">
        <v>8401472</v>
      </c>
      <c r="DI878">
        <v>0</v>
      </c>
      <c r="DJ878">
        <v>0</v>
      </c>
      <c r="DK878">
        <v>1</v>
      </c>
      <c r="DL878">
        <v>0</v>
      </c>
      <c r="DM878">
        <v>0</v>
      </c>
      <c r="DN878">
        <v>0</v>
      </c>
      <c r="DO878">
        <v>0</v>
      </c>
      <c r="DP878">
        <v>1</v>
      </c>
      <c r="DQ878">
        <v>0</v>
      </c>
      <c r="DR878">
        <v>0</v>
      </c>
      <c r="DS878">
        <v>0</v>
      </c>
    </row>
    <row r="879" spans="1:123" x14ac:dyDescent="0.25">
      <c r="A879" t="str">
        <f>"11/29/2023 20:25:37.430"</f>
        <v>11/29/2023 20:25:37.430</v>
      </c>
      <c r="C879" t="str">
        <f t="shared" si="104"/>
        <v>FFDF53C0</v>
      </c>
      <c r="D879" t="s">
        <v>123</v>
      </c>
      <c r="E879">
        <v>14</v>
      </c>
      <c r="F879">
        <v>1014</v>
      </c>
      <c r="G879" t="s">
        <v>124</v>
      </c>
      <c r="J879" t="s">
        <v>125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"20:25:36.992"</f>
        <v>20:25:36.992</v>
      </c>
      <c r="T879" t="str">
        <f>"20:25:36.692"</f>
        <v>20:25:36.692</v>
      </c>
      <c r="U879" t="str">
        <f t="shared" si="102"/>
        <v>AA0632</v>
      </c>
      <c r="V879">
        <v>0</v>
      </c>
      <c r="W879">
        <v>0</v>
      </c>
      <c r="X879">
        <v>2</v>
      </c>
      <c r="Y879">
        <v>0</v>
      </c>
      <c r="AA879">
        <v>0</v>
      </c>
      <c r="AB879">
        <v>9</v>
      </c>
      <c r="AC879">
        <v>3</v>
      </c>
      <c r="AD879">
        <v>0</v>
      </c>
      <c r="AE879">
        <v>10</v>
      </c>
      <c r="AF879" t="s">
        <v>126</v>
      </c>
      <c r="AG879">
        <v>0</v>
      </c>
      <c r="AH879">
        <v>0</v>
      </c>
      <c r="AI879">
        <v>2</v>
      </c>
      <c r="AJ879">
        <v>0</v>
      </c>
      <c r="AK879" t="s">
        <v>510</v>
      </c>
      <c r="AL879">
        <v>31.922922</v>
      </c>
      <c r="AM879" t="s">
        <v>571</v>
      </c>
      <c r="AN879">
        <v>-100.998752</v>
      </c>
      <c r="AQ879" t="s">
        <v>129</v>
      </c>
      <c r="AR879">
        <v>98</v>
      </c>
      <c r="AS879">
        <v>8</v>
      </c>
      <c r="AT879">
        <v>256</v>
      </c>
      <c r="BB879" t="str">
        <f t="shared" si="103"/>
        <v>1200</v>
      </c>
      <c r="BC879">
        <v>1</v>
      </c>
      <c r="BD879" t="str">
        <f t="shared" si="105"/>
        <v xml:space="preserve">N745MB  </v>
      </c>
      <c r="BE879">
        <v>1</v>
      </c>
      <c r="BG879">
        <v>0</v>
      </c>
      <c r="BH879">
        <v>0</v>
      </c>
      <c r="BI879">
        <v>0</v>
      </c>
      <c r="BL879" t="s">
        <v>130</v>
      </c>
      <c r="BM879">
        <v>1</v>
      </c>
      <c r="BN879">
        <v>0</v>
      </c>
      <c r="BO879">
        <v>0</v>
      </c>
      <c r="BP879">
        <v>0</v>
      </c>
      <c r="BT879">
        <v>0</v>
      </c>
      <c r="BU879">
        <v>0</v>
      </c>
      <c r="CE879" t="str">
        <f>"20:25:37.000"</f>
        <v>20:25:37.000</v>
      </c>
      <c r="CF879">
        <v>999747418</v>
      </c>
      <c r="CS879">
        <v>0</v>
      </c>
      <c r="CT879">
        <v>2</v>
      </c>
      <c r="CU879">
        <v>0</v>
      </c>
      <c r="CV879">
        <v>2</v>
      </c>
      <c r="CW879">
        <v>0</v>
      </c>
      <c r="CX879">
        <v>4</v>
      </c>
      <c r="CY879">
        <v>7</v>
      </c>
      <c r="CZ879" t="s">
        <v>131</v>
      </c>
      <c r="DA879">
        <v>116</v>
      </c>
      <c r="DB879">
        <v>3</v>
      </c>
      <c r="DC879" t="s">
        <v>132</v>
      </c>
      <c r="DD879" t="s">
        <v>133</v>
      </c>
      <c r="DG879">
        <v>8401472</v>
      </c>
      <c r="DI879">
        <v>0</v>
      </c>
      <c r="DJ879">
        <v>0</v>
      </c>
      <c r="DK879">
        <v>1</v>
      </c>
      <c r="DL879">
        <v>0</v>
      </c>
      <c r="DM879">
        <v>0</v>
      </c>
      <c r="DN879">
        <v>0</v>
      </c>
      <c r="DO879">
        <v>0</v>
      </c>
      <c r="DP879">
        <v>1</v>
      </c>
      <c r="DQ879">
        <v>0</v>
      </c>
      <c r="DR879">
        <v>0</v>
      </c>
      <c r="DS879">
        <v>0</v>
      </c>
    </row>
    <row r="880" spans="1:123" x14ac:dyDescent="0.25">
      <c r="A880" t="str">
        <f>"11/29/2023 20:25:37.430"</f>
        <v>11/29/2023 20:25:37.430</v>
      </c>
      <c r="C880" t="str">
        <f t="shared" si="104"/>
        <v>FFDF53C0</v>
      </c>
      <c r="D880" t="s">
        <v>135</v>
      </c>
      <c r="E880">
        <v>31</v>
      </c>
      <c r="H880">
        <v>285</v>
      </c>
      <c r="I880" t="s">
        <v>136</v>
      </c>
      <c r="J880" t="s">
        <v>137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"20:25:36.992"</f>
        <v>20:25:36.992</v>
      </c>
      <c r="T880" t="str">
        <f>"20:25:36.692"</f>
        <v>20:25:36.692</v>
      </c>
      <c r="U880" t="str">
        <f t="shared" si="102"/>
        <v>AA0632</v>
      </c>
      <c r="V880">
        <v>0</v>
      </c>
      <c r="W880">
        <v>0</v>
      </c>
      <c r="X880">
        <v>2</v>
      </c>
      <c r="Y880">
        <v>0</v>
      </c>
      <c r="AA880">
        <v>0</v>
      </c>
      <c r="AB880">
        <v>9</v>
      </c>
      <c r="AC880">
        <v>3</v>
      </c>
      <c r="AD880">
        <v>0</v>
      </c>
      <c r="AE880">
        <v>10</v>
      </c>
      <c r="AF880" t="s">
        <v>126</v>
      </c>
      <c r="AG880">
        <v>0</v>
      </c>
      <c r="AH880">
        <v>0</v>
      </c>
      <c r="AI880">
        <v>2</v>
      </c>
      <c r="AJ880">
        <v>0</v>
      </c>
      <c r="AK880" t="s">
        <v>510</v>
      </c>
      <c r="AL880">
        <v>31.922922</v>
      </c>
      <c r="AM880" t="s">
        <v>571</v>
      </c>
      <c r="AN880">
        <v>-100.998752</v>
      </c>
      <c r="AQ880" t="s">
        <v>129</v>
      </c>
      <c r="AR880">
        <v>98</v>
      </c>
      <c r="AS880">
        <v>8</v>
      </c>
      <c r="AT880">
        <v>256</v>
      </c>
      <c r="BB880" t="str">
        <f t="shared" si="103"/>
        <v>1200</v>
      </c>
      <c r="BC880">
        <v>1</v>
      </c>
      <c r="BD880" t="str">
        <f t="shared" si="105"/>
        <v xml:space="preserve">N745MB  </v>
      </c>
      <c r="BE880">
        <v>1</v>
      </c>
      <c r="BG880">
        <v>0</v>
      </c>
      <c r="BH880">
        <v>0</v>
      </c>
      <c r="BI880">
        <v>0</v>
      </c>
      <c r="BL880" t="s">
        <v>130</v>
      </c>
      <c r="BM880">
        <v>1</v>
      </c>
      <c r="BN880">
        <v>0</v>
      </c>
      <c r="BO880">
        <v>0</v>
      </c>
      <c r="BP880">
        <v>0</v>
      </c>
      <c r="BT880">
        <v>0</v>
      </c>
      <c r="BU880">
        <v>0</v>
      </c>
      <c r="CE880" t="str">
        <f>"20:25:37.000"</f>
        <v>20:25:37.000</v>
      </c>
      <c r="CF880">
        <v>999747418</v>
      </c>
      <c r="CS880">
        <v>0</v>
      </c>
      <c r="CT880">
        <v>2</v>
      </c>
      <c r="CU880">
        <v>0</v>
      </c>
      <c r="CV880">
        <v>2</v>
      </c>
      <c r="CW880">
        <v>0</v>
      </c>
      <c r="CX880">
        <v>4</v>
      </c>
      <c r="CY880">
        <v>7</v>
      </c>
      <c r="CZ880" t="s">
        <v>131</v>
      </c>
      <c r="DA880">
        <v>116</v>
      </c>
      <c r="DB880">
        <v>3</v>
      </c>
      <c r="DC880" t="s">
        <v>132</v>
      </c>
      <c r="DD880" t="s">
        <v>133</v>
      </c>
      <c r="DG880">
        <v>8401472</v>
      </c>
      <c r="DI880">
        <v>0</v>
      </c>
      <c r="DJ880">
        <v>0</v>
      </c>
      <c r="DK880">
        <v>1</v>
      </c>
      <c r="DL880">
        <v>0</v>
      </c>
      <c r="DM880">
        <v>0</v>
      </c>
      <c r="DN880">
        <v>0</v>
      </c>
      <c r="DO880">
        <v>0</v>
      </c>
      <c r="DP880">
        <v>1</v>
      </c>
      <c r="DQ880">
        <v>0</v>
      </c>
      <c r="DR880">
        <v>0</v>
      </c>
      <c r="DS880">
        <v>0</v>
      </c>
    </row>
    <row r="881" spans="1:123" x14ac:dyDescent="0.25">
      <c r="A881" t="str">
        <f>"11/29/2023 20:25:37.430"</f>
        <v>11/29/2023 20:25:37.430</v>
      </c>
      <c r="C881" t="str">
        <f t="shared" si="104"/>
        <v>FFDF53C0</v>
      </c>
      <c r="D881" t="s">
        <v>164</v>
      </c>
      <c r="E881">
        <v>24</v>
      </c>
      <c r="F881">
        <v>2024</v>
      </c>
      <c r="G881" t="s">
        <v>165</v>
      </c>
      <c r="J881" t="s">
        <v>166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"20:25:36.992"</f>
        <v>20:25:36.992</v>
      </c>
      <c r="T881" t="str">
        <f>"20:25:36.192"</f>
        <v>20:25:36.192</v>
      </c>
      <c r="U881" t="str">
        <f t="shared" si="102"/>
        <v>AA0632</v>
      </c>
      <c r="V881">
        <v>0</v>
      </c>
      <c r="W881">
        <v>0</v>
      </c>
      <c r="X881">
        <v>2</v>
      </c>
      <c r="Y881">
        <v>0</v>
      </c>
      <c r="AA881">
        <v>0</v>
      </c>
      <c r="AB881">
        <v>9</v>
      </c>
      <c r="AC881">
        <v>3</v>
      </c>
      <c r="AD881">
        <v>0</v>
      </c>
      <c r="AE881">
        <v>10</v>
      </c>
      <c r="AF881" t="s">
        <v>126</v>
      </c>
      <c r="AG881">
        <v>0</v>
      </c>
      <c r="AH881">
        <v>0</v>
      </c>
      <c r="AI881">
        <v>2</v>
      </c>
      <c r="AJ881">
        <v>0</v>
      </c>
      <c r="AK881" t="s">
        <v>510</v>
      </c>
      <c r="AL881">
        <v>31.922922</v>
      </c>
      <c r="AM881" t="s">
        <v>571</v>
      </c>
      <c r="AN881">
        <v>-100.998752</v>
      </c>
      <c r="AQ881" t="s">
        <v>129</v>
      </c>
      <c r="AR881">
        <v>98</v>
      </c>
      <c r="AS881">
        <v>9</v>
      </c>
      <c r="AT881">
        <v>192</v>
      </c>
      <c r="BB881" t="str">
        <f t="shared" si="103"/>
        <v>1200</v>
      </c>
      <c r="BC881">
        <v>1</v>
      </c>
      <c r="BD881" t="str">
        <f t="shared" si="105"/>
        <v xml:space="preserve">N745MB  </v>
      </c>
      <c r="BE881">
        <v>1</v>
      </c>
      <c r="BG881">
        <v>0</v>
      </c>
      <c r="BH881">
        <v>0</v>
      </c>
      <c r="BI881">
        <v>0</v>
      </c>
      <c r="BL881" t="s">
        <v>130</v>
      </c>
      <c r="BM881">
        <v>1</v>
      </c>
      <c r="BN881">
        <v>0</v>
      </c>
      <c r="BO881">
        <v>0</v>
      </c>
      <c r="BP881">
        <v>0</v>
      </c>
      <c r="BT881">
        <v>0</v>
      </c>
      <c r="BU881">
        <v>0</v>
      </c>
      <c r="CE881" t="str">
        <f>"20:25:37.000"</f>
        <v>20:25:37.000</v>
      </c>
      <c r="CF881">
        <v>999756555</v>
      </c>
      <c r="CS881">
        <v>0</v>
      </c>
      <c r="CT881">
        <v>2</v>
      </c>
      <c r="CU881">
        <v>0</v>
      </c>
      <c r="CV881">
        <v>2</v>
      </c>
      <c r="CW881">
        <v>0</v>
      </c>
      <c r="CX881">
        <v>2</v>
      </c>
      <c r="CY881">
        <v>7</v>
      </c>
      <c r="CZ881" t="s">
        <v>131</v>
      </c>
      <c r="DA881">
        <v>483</v>
      </c>
      <c r="DB881">
        <v>1</v>
      </c>
      <c r="DC881" t="s">
        <v>169</v>
      </c>
      <c r="DD881" t="s">
        <v>170</v>
      </c>
      <c r="DG881">
        <v>7373592</v>
      </c>
      <c r="DI881">
        <v>0</v>
      </c>
      <c r="DJ881">
        <v>0</v>
      </c>
      <c r="DK881">
        <v>1</v>
      </c>
      <c r="DL881">
        <v>0</v>
      </c>
      <c r="DM881">
        <v>0</v>
      </c>
      <c r="DN881">
        <v>0</v>
      </c>
      <c r="DO881">
        <v>0</v>
      </c>
      <c r="DP881">
        <v>1</v>
      </c>
      <c r="DQ881">
        <v>0</v>
      </c>
      <c r="DR881">
        <v>0</v>
      </c>
      <c r="DS881">
        <v>0</v>
      </c>
    </row>
    <row r="882" spans="1:123" x14ac:dyDescent="0.25">
      <c r="A882" t="str">
        <f>"11/29/2023 20:25:39.493"</f>
        <v>11/29/2023 20:25:39.493</v>
      </c>
      <c r="C882" t="str">
        <f t="shared" si="104"/>
        <v>FFDF53C0</v>
      </c>
      <c r="D882" t="s">
        <v>123</v>
      </c>
      <c r="E882">
        <v>1</v>
      </c>
      <c r="F882">
        <v>1001</v>
      </c>
      <c r="G882" t="s">
        <v>134</v>
      </c>
      <c r="J882" t="s">
        <v>125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>"20:25:39.156"</f>
        <v>20:25:39.156</v>
      </c>
      <c r="T882" t="str">
        <f>"20:25:38.956"</f>
        <v>20:25:38.956</v>
      </c>
      <c r="U882" t="str">
        <f t="shared" si="102"/>
        <v>AA0632</v>
      </c>
      <c r="V882">
        <v>0</v>
      </c>
      <c r="W882">
        <v>0</v>
      </c>
      <c r="X882">
        <v>2</v>
      </c>
      <c r="Y882">
        <v>0</v>
      </c>
      <c r="AA882">
        <v>0</v>
      </c>
      <c r="AB882">
        <v>9</v>
      </c>
      <c r="AC882">
        <v>3</v>
      </c>
      <c r="AD882">
        <v>0</v>
      </c>
      <c r="AE882">
        <v>10</v>
      </c>
      <c r="AF882" t="s">
        <v>126</v>
      </c>
      <c r="AG882">
        <v>0</v>
      </c>
      <c r="AH882">
        <v>0</v>
      </c>
      <c r="AI882">
        <v>2</v>
      </c>
      <c r="AJ882">
        <v>0</v>
      </c>
      <c r="AK882" t="s">
        <v>572</v>
      </c>
      <c r="AL882">
        <v>31.923007999999999</v>
      </c>
      <c r="AM882" t="s">
        <v>573</v>
      </c>
      <c r="AN882">
        <v>-100.997658</v>
      </c>
      <c r="AQ882" t="s">
        <v>129</v>
      </c>
      <c r="AR882">
        <v>97</v>
      </c>
      <c r="AS882">
        <v>7</v>
      </c>
      <c r="AT882">
        <v>256</v>
      </c>
      <c r="BB882" t="str">
        <f t="shared" si="103"/>
        <v>1200</v>
      </c>
      <c r="BC882">
        <v>1</v>
      </c>
      <c r="BD882" t="str">
        <f t="shared" si="105"/>
        <v xml:space="preserve">N745MB  </v>
      </c>
      <c r="BE882">
        <v>1</v>
      </c>
      <c r="BG882">
        <v>0</v>
      </c>
      <c r="BH882">
        <v>0</v>
      </c>
      <c r="BI882">
        <v>0</v>
      </c>
      <c r="BL882" t="s">
        <v>130</v>
      </c>
      <c r="BM882">
        <v>1</v>
      </c>
      <c r="BN882">
        <v>0</v>
      </c>
      <c r="BO882">
        <v>0</v>
      </c>
      <c r="BP882">
        <v>0</v>
      </c>
      <c r="BT882">
        <v>0</v>
      </c>
      <c r="BU882">
        <v>0</v>
      </c>
      <c r="CE882" t="str">
        <f>"20:25:39.162"</f>
        <v>20:25:39.162</v>
      </c>
      <c r="CF882">
        <v>161602701</v>
      </c>
      <c r="CS882">
        <v>0</v>
      </c>
      <c r="CT882">
        <v>2</v>
      </c>
      <c r="CU882">
        <v>0</v>
      </c>
      <c r="CV882">
        <v>2</v>
      </c>
      <c r="CW882">
        <v>0</v>
      </c>
      <c r="CX882">
        <v>2</v>
      </c>
      <c r="CY882">
        <v>7</v>
      </c>
      <c r="CZ882" t="s">
        <v>131</v>
      </c>
      <c r="DA882">
        <v>116</v>
      </c>
      <c r="DB882">
        <v>3</v>
      </c>
      <c r="DC882" t="s">
        <v>132</v>
      </c>
      <c r="DD882" t="s">
        <v>133</v>
      </c>
      <c r="DG882">
        <v>8402657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1</v>
      </c>
      <c r="DQ882">
        <v>0</v>
      </c>
      <c r="DR882">
        <v>0</v>
      </c>
      <c r="DS882">
        <v>0</v>
      </c>
    </row>
    <row r="883" spans="1:123" x14ac:dyDescent="0.25">
      <c r="A883" t="str">
        <f>"11/29/2023 20:25:39.493"</f>
        <v>11/29/2023 20:25:39.493</v>
      </c>
      <c r="C883" t="str">
        <f t="shared" si="104"/>
        <v>FFDF53C0</v>
      </c>
      <c r="D883" t="s">
        <v>135</v>
      </c>
      <c r="E883">
        <v>31</v>
      </c>
      <c r="H883">
        <v>285</v>
      </c>
      <c r="I883" t="s">
        <v>136</v>
      </c>
      <c r="J883" t="s">
        <v>137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>"20:25:39.156"</f>
        <v>20:25:39.156</v>
      </c>
      <c r="T883" t="str">
        <f>"20:25:38.956"</f>
        <v>20:25:38.956</v>
      </c>
      <c r="U883" t="str">
        <f t="shared" si="102"/>
        <v>AA0632</v>
      </c>
      <c r="V883">
        <v>0</v>
      </c>
      <c r="W883">
        <v>0</v>
      </c>
      <c r="X883">
        <v>2</v>
      </c>
      <c r="Y883">
        <v>0</v>
      </c>
      <c r="AA883">
        <v>0</v>
      </c>
      <c r="AB883">
        <v>9</v>
      </c>
      <c r="AC883">
        <v>3</v>
      </c>
      <c r="AD883">
        <v>0</v>
      </c>
      <c r="AE883">
        <v>10</v>
      </c>
      <c r="AF883" t="s">
        <v>126</v>
      </c>
      <c r="AG883">
        <v>0</v>
      </c>
      <c r="AH883">
        <v>0</v>
      </c>
      <c r="AI883">
        <v>2</v>
      </c>
      <c r="AJ883">
        <v>0</v>
      </c>
      <c r="AK883" t="s">
        <v>572</v>
      </c>
      <c r="AL883">
        <v>31.923007999999999</v>
      </c>
      <c r="AM883" t="s">
        <v>573</v>
      </c>
      <c r="AN883">
        <v>-100.997658</v>
      </c>
      <c r="AQ883" t="s">
        <v>129</v>
      </c>
      <c r="AR883">
        <v>97</v>
      </c>
      <c r="AS883">
        <v>7</v>
      </c>
      <c r="AT883">
        <v>256</v>
      </c>
      <c r="BB883" t="str">
        <f t="shared" si="103"/>
        <v>1200</v>
      </c>
      <c r="BC883">
        <v>1</v>
      </c>
      <c r="BD883" t="str">
        <f t="shared" si="105"/>
        <v xml:space="preserve">N745MB  </v>
      </c>
      <c r="BE883">
        <v>1</v>
      </c>
      <c r="BG883">
        <v>0</v>
      </c>
      <c r="BH883">
        <v>0</v>
      </c>
      <c r="BI883">
        <v>0</v>
      </c>
      <c r="BL883" t="s">
        <v>130</v>
      </c>
      <c r="BM883">
        <v>1</v>
      </c>
      <c r="BN883">
        <v>0</v>
      </c>
      <c r="BO883">
        <v>0</v>
      </c>
      <c r="BP883">
        <v>0</v>
      </c>
      <c r="BT883">
        <v>0</v>
      </c>
      <c r="BU883">
        <v>0</v>
      </c>
      <c r="CE883" t="str">
        <f>"20:25:39.162"</f>
        <v>20:25:39.162</v>
      </c>
      <c r="CF883">
        <v>161602701</v>
      </c>
      <c r="CS883">
        <v>0</v>
      </c>
      <c r="CT883">
        <v>2</v>
      </c>
      <c r="CU883">
        <v>0</v>
      </c>
      <c r="CV883">
        <v>2</v>
      </c>
      <c r="CW883">
        <v>0</v>
      </c>
      <c r="CX883">
        <v>2</v>
      </c>
      <c r="CY883">
        <v>7</v>
      </c>
      <c r="CZ883" t="s">
        <v>131</v>
      </c>
      <c r="DA883">
        <v>116</v>
      </c>
      <c r="DB883">
        <v>3</v>
      </c>
      <c r="DC883" t="s">
        <v>132</v>
      </c>
      <c r="DD883" t="s">
        <v>133</v>
      </c>
      <c r="DG883">
        <v>8402657</v>
      </c>
      <c r="DI883">
        <v>0</v>
      </c>
      <c r="DJ883">
        <v>0</v>
      </c>
      <c r="DK883">
        <v>1</v>
      </c>
      <c r="DL883">
        <v>0</v>
      </c>
      <c r="DM883">
        <v>0</v>
      </c>
      <c r="DN883">
        <v>0</v>
      </c>
      <c r="DO883">
        <v>0</v>
      </c>
      <c r="DP883">
        <v>1</v>
      </c>
      <c r="DQ883">
        <v>0</v>
      </c>
      <c r="DR883">
        <v>0</v>
      </c>
      <c r="DS883">
        <v>0</v>
      </c>
    </row>
    <row r="884" spans="1:123" x14ac:dyDescent="0.25">
      <c r="A884" t="str">
        <f>"11/29/2023 20:25:39.493"</f>
        <v>11/29/2023 20:25:39.493</v>
      </c>
      <c r="C884" t="str">
        <f t="shared" si="104"/>
        <v>FFDF53C0</v>
      </c>
      <c r="D884" t="s">
        <v>138</v>
      </c>
      <c r="E884">
        <v>3</v>
      </c>
      <c r="H884">
        <v>160</v>
      </c>
      <c r="I884" t="s">
        <v>124</v>
      </c>
      <c r="J884" t="s">
        <v>139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>"20:25:39.156"</f>
        <v>20:25:39.156</v>
      </c>
      <c r="T884" t="str">
        <f>"20:25:38.956"</f>
        <v>20:25:38.956</v>
      </c>
      <c r="U884" t="str">
        <f t="shared" si="102"/>
        <v>AA0632</v>
      </c>
      <c r="V884">
        <v>0</v>
      </c>
      <c r="W884">
        <v>0</v>
      </c>
      <c r="X884">
        <v>2</v>
      </c>
      <c r="Y884">
        <v>0</v>
      </c>
      <c r="AA884">
        <v>0</v>
      </c>
      <c r="AB884">
        <v>9</v>
      </c>
      <c r="AC884">
        <v>3</v>
      </c>
      <c r="AD884">
        <v>0</v>
      </c>
      <c r="AE884">
        <v>10</v>
      </c>
      <c r="AF884" t="s">
        <v>126</v>
      </c>
      <c r="AG884">
        <v>0</v>
      </c>
      <c r="AH884">
        <v>0</v>
      </c>
      <c r="AI884">
        <v>2</v>
      </c>
      <c r="AJ884">
        <v>0</v>
      </c>
      <c r="AK884" t="s">
        <v>572</v>
      </c>
      <c r="AL884">
        <v>31.923007999999999</v>
      </c>
      <c r="AM884" t="s">
        <v>573</v>
      </c>
      <c r="AN884">
        <v>-100.997658</v>
      </c>
      <c r="AQ884" t="s">
        <v>129</v>
      </c>
      <c r="AR884">
        <v>97</v>
      </c>
      <c r="AS884">
        <v>7</v>
      </c>
      <c r="AT884">
        <v>256</v>
      </c>
      <c r="BB884" t="str">
        <f t="shared" si="103"/>
        <v>1200</v>
      </c>
      <c r="BC884">
        <v>1</v>
      </c>
      <c r="BD884" t="str">
        <f t="shared" si="105"/>
        <v xml:space="preserve">N745MB  </v>
      </c>
      <c r="BE884">
        <v>1</v>
      </c>
      <c r="BG884">
        <v>0</v>
      </c>
      <c r="BH884">
        <v>0</v>
      </c>
      <c r="BI884">
        <v>0</v>
      </c>
      <c r="BL884" t="s">
        <v>130</v>
      </c>
      <c r="BM884">
        <v>1</v>
      </c>
      <c r="BN884">
        <v>0</v>
      </c>
      <c r="BO884">
        <v>0</v>
      </c>
      <c r="BP884">
        <v>0</v>
      </c>
      <c r="BT884">
        <v>0</v>
      </c>
      <c r="BU884">
        <v>0</v>
      </c>
      <c r="CE884" t="str">
        <f>"20:25:39.162"</f>
        <v>20:25:39.162</v>
      </c>
      <c r="CF884">
        <v>161602701</v>
      </c>
      <c r="CS884">
        <v>0</v>
      </c>
      <c r="CT884">
        <v>2</v>
      </c>
      <c r="CU884">
        <v>0</v>
      </c>
      <c r="CV884">
        <v>2</v>
      </c>
      <c r="CW884">
        <v>0</v>
      </c>
      <c r="CX884">
        <v>2</v>
      </c>
      <c r="CY884">
        <v>7</v>
      </c>
      <c r="CZ884" t="s">
        <v>131</v>
      </c>
      <c r="DA884">
        <v>116</v>
      </c>
      <c r="DB884">
        <v>3</v>
      </c>
      <c r="DC884" t="s">
        <v>132</v>
      </c>
      <c r="DD884" t="s">
        <v>133</v>
      </c>
      <c r="DG884">
        <v>8402657</v>
      </c>
      <c r="DI884">
        <v>0</v>
      </c>
      <c r="DJ884">
        <v>0</v>
      </c>
      <c r="DK884">
        <v>1</v>
      </c>
      <c r="DL884">
        <v>0</v>
      </c>
      <c r="DM884">
        <v>0</v>
      </c>
      <c r="DN884">
        <v>0</v>
      </c>
      <c r="DO884">
        <v>0</v>
      </c>
      <c r="DP884">
        <v>1</v>
      </c>
      <c r="DQ884">
        <v>0</v>
      </c>
      <c r="DR884">
        <v>0</v>
      </c>
      <c r="DS884">
        <v>0</v>
      </c>
    </row>
    <row r="885" spans="1:123" x14ac:dyDescent="0.25">
      <c r="A885" t="str">
        <f>"11/29/2023 20:25:39.493"</f>
        <v>11/29/2023 20:25:39.493</v>
      </c>
      <c r="C885" t="str">
        <f t="shared" si="104"/>
        <v>FFDF53C0</v>
      </c>
      <c r="D885" t="s">
        <v>123</v>
      </c>
      <c r="E885">
        <v>14</v>
      </c>
      <c r="F885">
        <v>1014</v>
      </c>
      <c r="G885" t="s">
        <v>124</v>
      </c>
      <c r="J885" t="s">
        <v>125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>"20:25:39.156"</f>
        <v>20:25:39.156</v>
      </c>
      <c r="T885" t="str">
        <f>"20:25:38.956"</f>
        <v>20:25:38.956</v>
      </c>
      <c r="U885" t="str">
        <f t="shared" si="102"/>
        <v>AA0632</v>
      </c>
      <c r="V885">
        <v>0</v>
      </c>
      <c r="W885">
        <v>0</v>
      </c>
      <c r="X885">
        <v>2</v>
      </c>
      <c r="Y885">
        <v>0</v>
      </c>
      <c r="AA885">
        <v>0</v>
      </c>
      <c r="AB885">
        <v>9</v>
      </c>
      <c r="AC885">
        <v>3</v>
      </c>
      <c r="AD885">
        <v>0</v>
      </c>
      <c r="AE885">
        <v>10</v>
      </c>
      <c r="AF885" t="s">
        <v>126</v>
      </c>
      <c r="AG885">
        <v>0</v>
      </c>
      <c r="AH885">
        <v>0</v>
      </c>
      <c r="AI885">
        <v>2</v>
      </c>
      <c r="AJ885">
        <v>0</v>
      </c>
      <c r="AK885" t="s">
        <v>572</v>
      </c>
      <c r="AL885">
        <v>31.923007999999999</v>
      </c>
      <c r="AM885" t="s">
        <v>573</v>
      </c>
      <c r="AN885">
        <v>-100.997658</v>
      </c>
      <c r="AQ885" t="s">
        <v>129</v>
      </c>
      <c r="AR885">
        <v>97</v>
      </c>
      <c r="AS885">
        <v>7</v>
      </c>
      <c r="AT885">
        <v>256</v>
      </c>
      <c r="BB885" t="str">
        <f t="shared" si="103"/>
        <v>1200</v>
      </c>
      <c r="BC885">
        <v>1</v>
      </c>
      <c r="BD885" t="str">
        <f t="shared" si="105"/>
        <v xml:space="preserve">N745MB  </v>
      </c>
      <c r="BE885">
        <v>1</v>
      </c>
      <c r="BG885">
        <v>0</v>
      </c>
      <c r="BH885">
        <v>0</v>
      </c>
      <c r="BI885">
        <v>0</v>
      </c>
      <c r="BL885" t="s">
        <v>130</v>
      </c>
      <c r="BM885">
        <v>1</v>
      </c>
      <c r="BN885">
        <v>0</v>
      </c>
      <c r="BO885">
        <v>0</v>
      </c>
      <c r="BP885">
        <v>0</v>
      </c>
      <c r="BT885">
        <v>0</v>
      </c>
      <c r="BU885">
        <v>0</v>
      </c>
      <c r="CE885" t="str">
        <f>"20:25:39.162"</f>
        <v>20:25:39.162</v>
      </c>
      <c r="CF885">
        <v>161602701</v>
      </c>
      <c r="CS885">
        <v>0</v>
      </c>
      <c r="CT885">
        <v>2</v>
      </c>
      <c r="CU885">
        <v>0</v>
      </c>
      <c r="CV885">
        <v>2</v>
      </c>
      <c r="CW885">
        <v>0</v>
      </c>
      <c r="CX885">
        <v>2</v>
      </c>
      <c r="CY885">
        <v>7</v>
      </c>
      <c r="CZ885" t="s">
        <v>131</v>
      </c>
      <c r="DA885">
        <v>116</v>
      </c>
      <c r="DB885">
        <v>3</v>
      </c>
      <c r="DC885" t="s">
        <v>132</v>
      </c>
      <c r="DD885" t="s">
        <v>133</v>
      </c>
      <c r="DG885">
        <v>8402657</v>
      </c>
      <c r="DI885">
        <v>0</v>
      </c>
      <c r="DJ885">
        <v>0</v>
      </c>
      <c r="DK885">
        <v>1</v>
      </c>
      <c r="DL885">
        <v>0</v>
      </c>
      <c r="DM885">
        <v>0</v>
      </c>
      <c r="DN885">
        <v>0</v>
      </c>
      <c r="DO885">
        <v>0</v>
      </c>
      <c r="DP885">
        <v>1</v>
      </c>
      <c r="DQ885">
        <v>0</v>
      </c>
      <c r="DR885">
        <v>0</v>
      </c>
      <c r="DS885">
        <v>0</v>
      </c>
    </row>
    <row r="886" spans="1:123" x14ac:dyDescent="0.25">
      <c r="A886" t="str">
        <f>"11/29/2023 20:25:40.774"</f>
        <v>11/29/2023 20:25:40.774</v>
      </c>
      <c r="C886" t="str">
        <f t="shared" si="104"/>
        <v>FFDF53C0</v>
      </c>
      <c r="D886" t="s">
        <v>164</v>
      </c>
      <c r="E886">
        <v>24</v>
      </c>
      <c r="F886">
        <v>2024</v>
      </c>
      <c r="G886" t="s">
        <v>165</v>
      </c>
      <c r="J886" t="s">
        <v>166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>"20:25:40.242"</f>
        <v>20:25:40.242</v>
      </c>
      <c r="T886" t="str">
        <f>"20:25:39.442"</f>
        <v>20:25:39.442</v>
      </c>
      <c r="U886" t="str">
        <f t="shared" si="102"/>
        <v>AA0632</v>
      </c>
      <c r="V886">
        <v>0</v>
      </c>
      <c r="W886">
        <v>0</v>
      </c>
      <c r="X886">
        <v>2</v>
      </c>
      <c r="Y886">
        <v>0</v>
      </c>
      <c r="AA886">
        <v>0</v>
      </c>
      <c r="AB886">
        <v>9</v>
      </c>
      <c r="AC886">
        <v>3</v>
      </c>
      <c r="AD886">
        <v>0</v>
      </c>
      <c r="AE886">
        <v>10</v>
      </c>
      <c r="AF886" t="s">
        <v>126</v>
      </c>
      <c r="AG886">
        <v>0</v>
      </c>
      <c r="AH886">
        <v>0</v>
      </c>
      <c r="AI886">
        <v>2</v>
      </c>
      <c r="AJ886">
        <v>0</v>
      </c>
      <c r="AK886" t="s">
        <v>574</v>
      </c>
      <c r="AL886">
        <v>31.923029</v>
      </c>
      <c r="AM886" t="s">
        <v>575</v>
      </c>
      <c r="AN886">
        <v>-100.99703599999999</v>
      </c>
      <c r="AQ886" t="s">
        <v>129</v>
      </c>
      <c r="AR886">
        <v>97</v>
      </c>
      <c r="AS886">
        <v>7</v>
      </c>
      <c r="AT886">
        <v>128</v>
      </c>
      <c r="BB886" t="str">
        <f t="shared" si="103"/>
        <v>1200</v>
      </c>
      <c r="BC886">
        <v>1</v>
      </c>
      <c r="BD886" t="str">
        <f t="shared" si="105"/>
        <v xml:space="preserve">N745MB  </v>
      </c>
      <c r="BE886">
        <v>1</v>
      </c>
      <c r="BG886">
        <v>0</v>
      </c>
      <c r="BH886">
        <v>0</v>
      </c>
      <c r="BI886">
        <v>0</v>
      </c>
      <c r="BL886" t="s">
        <v>130</v>
      </c>
      <c r="BM886">
        <v>1</v>
      </c>
      <c r="BN886">
        <v>0</v>
      </c>
      <c r="BO886">
        <v>0</v>
      </c>
      <c r="BP886">
        <v>0</v>
      </c>
      <c r="BT886">
        <v>0</v>
      </c>
      <c r="BU886">
        <v>0</v>
      </c>
      <c r="CE886" t="str">
        <f>"20:25:40.250"</f>
        <v>20:25:40.250</v>
      </c>
      <c r="CF886">
        <v>249538480</v>
      </c>
      <c r="CS886">
        <v>0</v>
      </c>
      <c r="CT886">
        <v>2</v>
      </c>
      <c r="CU886">
        <v>0</v>
      </c>
      <c r="CV886">
        <v>2</v>
      </c>
      <c r="CW886">
        <v>0</v>
      </c>
      <c r="CX886">
        <v>2</v>
      </c>
      <c r="CY886">
        <v>7</v>
      </c>
      <c r="CZ886" t="s">
        <v>131</v>
      </c>
      <c r="DA886">
        <v>483</v>
      </c>
      <c r="DB886">
        <v>1</v>
      </c>
      <c r="DC886" t="s">
        <v>169</v>
      </c>
      <c r="DD886" t="s">
        <v>170</v>
      </c>
      <c r="DG886">
        <v>7374023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1</v>
      </c>
      <c r="DQ886">
        <v>0</v>
      </c>
      <c r="DR886">
        <v>0</v>
      </c>
      <c r="DS886">
        <v>0</v>
      </c>
    </row>
    <row r="887" spans="1:123" x14ac:dyDescent="0.25">
      <c r="A887" t="str">
        <f>"11/29/2023 20:25:40.774"</f>
        <v>11/29/2023 20:25:40.774</v>
      </c>
      <c r="C887" t="str">
        <f t="shared" si="104"/>
        <v>FFDF53C0</v>
      </c>
      <c r="D887" t="s">
        <v>138</v>
      </c>
      <c r="E887">
        <v>3</v>
      </c>
      <c r="H887">
        <v>160</v>
      </c>
      <c r="I887" t="s">
        <v>124</v>
      </c>
      <c r="J887" t="s">
        <v>139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"20:25:40.242"</f>
        <v>20:25:40.242</v>
      </c>
      <c r="T887" t="str">
        <f>"20:25:39.442"</f>
        <v>20:25:39.442</v>
      </c>
      <c r="U887" t="str">
        <f t="shared" si="102"/>
        <v>AA0632</v>
      </c>
      <c r="V887">
        <v>0</v>
      </c>
      <c r="W887">
        <v>0</v>
      </c>
      <c r="X887">
        <v>2</v>
      </c>
      <c r="Y887">
        <v>0</v>
      </c>
      <c r="AA887">
        <v>0</v>
      </c>
      <c r="AB887">
        <v>9</v>
      </c>
      <c r="AC887">
        <v>3</v>
      </c>
      <c r="AD887">
        <v>0</v>
      </c>
      <c r="AE887">
        <v>10</v>
      </c>
      <c r="AF887" t="s">
        <v>126</v>
      </c>
      <c r="AG887">
        <v>0</v>
      </c>
      <c r="AH887">
        <v>0</v>
      </c>
      <c r="AI887">
        <v>2</v>
      </c>
      <c r="AJ887">
        <v>0</v>
      </c>
      <c r="AK887" t="s">
        <v>574</v>
      </c>
      <c r="AL887">
        <v>31.923029</v>
      </c>
      <c r="AM887" t="s">
        <v>575</v>
      </c>
      <c r="AN887">
        <v>-100.99703599999999</v>
      </c>
      <c r="AQ887" t="s">
        <v>129</v>
      </c>
      <c r="AR887">
        <v>97</v>
      </c>
      <c r="AS887">
        <v>7</v>
      </c>
      <c r="AT887">
        <v>128</v>
      </c>
      <c r="BB887" t="str">
        <f t="shared" si="103"/>
        <v>1200</v>
      </c>
      <c r="BC887">
        <v>1</v>
      </c>
      <c r="BD887" t="str">
        <f t="shared" si="105"/>
        <v xml:space="preserve">N745MB  </v>
      </c>
      <c r="BE887">
        <v>1</v>
      </c>
      <c r="BG887">
        <v>0</v>
      </c>
      <c r="BH887">
        <v>0</v>
      </c>
      <c r="BI887">
        <v>0</v>
      </c>
      <c r="BL887" t="s">
        <v>130</v>
      </c>
      <c r="BM887">
        <v>1</v>
      </c>
      <c r="BN887">
        <v>0</v>
      </c>
      <c r="BO887">
        <v>0</v>
      </c>
      <c r="BP887">
        <v>0</v>
      </c>
      <c r="BT887">
        <v>0</v>
      </c>
      <c r="BU887">
        <v>0</v>
      </c>
      <c r="CE887" t="str">
        <f>"20:25:40.250"</f>
        <v>20:25:40.250</v>
      </c>
      <c r="CF887">
        <v>249538480</v>
      </c>
      <c r="CS887">
        <v>0</v>
      </c>
      <c r="CT887">
        <v>2</v>
      </c>
      <c r="CU887">
        <v>0</v>
      </c>
      <c r="CV887">
        <v>2</v>
      </c>
      <c r="CW887">
        <v>0</v>
      </c>
      <c r="CX887">
        <v>2</v>
      </c>
      <c r="CY887">
        <v>7</v>
      </c>
      <c r="CZ887" t="s">
        <v>131</v>
      </c>
      <c r="DA887">
        <v>483</v>
      </c>
      <c r="DB887">
        <v>1</v>
      </c>
      <c r="DC887" t="s">
        <v>169</v>
      </c>
      <c r="DD887" t="s">
        <v>170</v>
      </c>
      <c r="DG887">
        <v>7374023</v>
      </c>
      <c r="DI887">
        <v>0</v>
      </c>
      <c r="DJ887">
        <v>0</v>
      </c>
      <c r="DK887">
        <v>1</v>
      </c>
      <c r="DL887">
        <v>0</v>
      </c>
      <c r="DM887">
        <v>0</v>
      </c>
      <c r="DN887">
        <v>0</v>
      </c>
      <c r="DO887">
        <v>0</v>
      </c>
      <c r="DP887">
        <v>1</v>
      </c>
      <c r="DQ887">
        <v>0</v>
      </c>
      <c r="DR887">
        <v>0</v>
      </c>
      <c r="DS887">
        <v>0</v>
      </c>
    </row>
    <row r="888" spans="1:123" x14ac:dyDescent="0.25">
      <c r="A888" t="str">
        <f>"11/29/2023 20:25:40.774"</f>
        <v>11/29/2023 20:25:40.774</v>
      </c>
      <c r="C888" t="str">
        <f t="shared" si="104"/>
        <v>FFDF53C0</v>
      </c>
      <c r="D888" t="s">
        <v>123</v>
      </c>
      <c r="E888">
        <v>14</v>
      </c>
      <c r="F888">
        <v>1014</v>
      </c>
      <c r="G888" t="s">
        <v>124</v>
      </c>
      <c r="J888" t="s">
        <v>125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"20:25:40.242"</f>
        <v>20:25:40.242</v>
      </c>
      <c r="T888" t="str">
        <f>"20:25:39.442"</f>
        <v>20:25:39.442</v>
      </c>
      <c r="U888" t="str">
        <f t="shared" si="102"/>
        <v>AA0632</v>
      </c>
      <c r="V888">
        <v>0</v>
      </c>
      <c r="W888">
        <v>0</v>
      </c>
      <c r="X888">
        <v>2</v>
      </c>
      <c r="Y888">
        <v>0</v>
      </c>
      <c r="AA888">
        <v>0</v>
      </c>
      <c r="AB888">
        <v>9</v>
      </c>
      <c r="AC888">
        <v>3</v>
      </c>
      <c r="AD888">
        <v>0</v>
      </c>
      <c r="AE888">
        <v>10</v>
      </c>
      <c r="AF888" t="s">
        <v>126</v>
      </c>
      <c r="AG888">
        <v>0</v>
      </c>
      <c r="AH888">
        <v>0</v>
      </c>
      <c r="AI888">
        <v>2</v>
      </c>
      <c r="AJ888">
        <v>0</v>
      </c>
      <c r="AK888" t="s">
        <v>574</v>
      </c>
      <c r="AL888">
        <v>31.923029</v>
      </c>
      <c r="AM888" t="s">
        <v>575</v>
      </c>
      <c r="AN888">
        <v>-100.99703599999999</v>
      </c>
      <c r="AQ888" t="s">
        <v>129</v>
      </c>
      <c r="AR888">
        <v>97</v>
      </c>
      <c r="AS888">
        <v>7</v>
      </c>
      <c r="AT888">
        <v>128</v>
      </c>
      <c r="BB888" t="str">
        <f t="shared" si="103"/>
        <v>1200</v>
      </c>
      <c r="BC888">
        <v>1</v>
      </c>
      <c r="BD888" t="str">
        <f t="shared" si="105"/>
        <v xml:space="preserve">N745MB  </v>
      </c>
      <c r="BE888">
        <v>1</v>
      </c>
      <c r="BG888">
        <v>0</v>
      </c>
      <c r="BH888">
        <v>0</v>
      </c>
      <c r="BI888">
        <v>0</v>
      </c>
      <c r="BL888" t="s">
        <v>130</v>
      </c>
      <c r="BM888">
        <v>1</v>
      </c>
      <c r="BN888">
        <v>0</v>
      </c>
      <c r="BO888">
        <v>0</v>
      </c>
      <c r="BP888">
        <v>0</v>
      </c>
      <c r="BT888">
        <v>0</v>
      </c>
      <c r="BU888">
        <v>0</v>
      </c>
      <c r="CE888" t="str">
        <f>"20:25:40.250"</f>
        <v>20:25:40.250</v>
      </c>
      <c r="CF888">
        <v>249538480</v>
      </c>
      <c r="CS888">
        <v>0</v>
      </c>
      <c r="CT888">
        <v>2</v>
      </c>
      <c r="CU888">
        <v>0</v>
      </c>
      <c r="CV888">
        <v>2</v>
      </c>
      <c r="CW888">
        <v>0</v>
      </c>
      <c r="CX888">
        <v>2</v>
      </c>
      <c r="CY888">
        <v>7</v>
      </c>
      <c r="CZ888" t="s">
        <v>131</v>
      </c>
      <c r="DA888">
        <v>483</v>
      </c>
      <c r="DB888">
        <v>1</v>
      </c>
      <c r="DC888" t="s">
        <v>169</v>
      </c>
      <c r="DD888" t="s">
        <v>170</v>
      </c>
      <c r="DG888">
        <v>7374023</v>
      </c>
      <c r="DI888">
        <v>0</v>
      </c>
      <c r="DJ888">
        <v>0</v>
      </c>
      <c r="DK888">
        <v>1</v>
      </c>
      <c r="DL888">
        <v>0</v>
      </c>
      <c r="DM888">
        <v>0</v>
      </c>
      <c r="DN888">
        <v>0</v>
      </c>
      <c r="DO888">
        <v>0</v>
      </c>
      <c r="DP888">
        <v>1</v>
      </c>
      <c r="DQ888">
        <v>0</v>
      </c>
      <c r="DR888">
        <v>0</v>
      </c>
      <c r="DS888">
        <v>0</v>
      </c>
    </row>
    <row r="889" spans="1:123" x14ac:dyDescent="0.25">
      <c r="A889" t="str">
        <f>"11/29/2023 20:25:42.383"</f>
        <v>11/29/2023 20:25:42.383</v>
      </c>
      <c r="C889" t="str">
        <f t="shared" si="104"/>
        <v>FFDF53C0</v>
      </c>
      <c r="D889" t="s">
        <v>164</v>
      </c>
      <c r="E889">
        <v>24</v>
      </c>
      <c r="F889">
        <v>2024</v>
      </c>
      <c r="G889" t="s">
        <v>165</v>
      </c>
      <c r="J889" t="s">
        <v>166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"20:25:41.805"</f>
        <v>20:25:41.805</v>
      </c>
      <c r="T889" t="str">
        <f>"20:25:39.405"</f>
        <v>20:25:39.405</v>
      </c>
      <c r="U889" t="str">
        <f t="shared" si="102"/>
        <v>AA0632</v>
      </c>
      <c r="V889">
        <v>0</v>
      </c>
      <c r="W889">
        <v>0</v>
      </c>
      <c r="X889">
        <v>2</v>
      </c>
      <c r="Y889">
        <v>0</v>
      </c>
      <c r="AA889">
        <v>0</v>
      </c>
      <c r="AB889">
        <v>9</v>
      </c>
      <c r="AC889">
        <v>3</v>
      </c>
      <c r="AD889">
        <v>0</v>
      </c>
      <c r="AE889">
        <v>10</v>
      </c>
      <c r="AF889" t="s">
        <v>126</v>
      </c>
      <c r="AG889">
        <v>0</v>
      </c>
      <c r="AH889">
        <v>0</v>
      </c>
      <c r="AI889">
        <v>2</v>
      </c>
      <c r="AJ889">
        <v>0</v>
      </c>
      <c r="AK889" t="s">
        <v>576</v>
      </c>
      <c r="AL889">
        <v>31.923072000000001</v>
      </c>
      <c r="AM889" t="s">
        <v>577</v>
      </c>
      <c r="AN889">
        <v>-100.99621999999999</v>
      </c>
      <c r="AQ889" t="s">
        <v>129</v>
      </c>
      <c r="AR889">
        <v>97</v>
      </c>
      <c r="AS889">
        <v>7</v>
      </c>
      <c r="AT889">
        <v>128</v>
      </c>
      <c r="BB889" t="str">
        <f t="shared" si="103"/>
        <v>1200</v>
      </c>
      <c r="BC889">
        <v>1</v>
      </c>
      <c r="BD889" t="str">
        <f t="shared" si="105"/>
        <v xml:space="preserve">N745MB  </v>
      </c>
      <c r="BE889">
        <v>1</v>
      </c>
      <c r="BG889">
        <v>0</v>
      </c>
      <c r="BH889">
        <v>0</v>
      </c>
      <c r="BI889">
        <v>0</v>
      </c>
      <c r="BL889" t="s">
        <v>130</v>
      </c>
      <c r="BM889">
        <v>1</v>
      </c>
      <c r="BN889">
        <v>0</v>
      </c>
      <c r="BO889">
        <v>0</v>
      </c>
      <c r="BP889">
        <v>0</v>
      </c>
      <c r="BT889">
        <v>0</v>
      </c>
      <c r="BU889">
        <v>0</v>
      </c>
      <c r="CE889" t="str">
        <f>"20:25:41.809"</f>
        <v>20:25:41.809</v>
      </c>
      <c r="CF889">
        <v>809436362</v>
      </c>
      <c r="CS889">
        <v>0</v>
      </c>
      <c r="CT889">
        <v>2</v>
      </c>
      <c r="CU889">
        <v>0</v>
      </c>
      <c r="CV889">
        <v>2</v>
      </c>
      <c r="CW889">
        <v>0</v>
      </c>
      <c r="CX889">
        <v>2</v>
      </c>
      <c r="CY889">
        <v>7</v>
      </c>
      <c r="CZ889" t="s">
        <v>131</v>
      </c>
      <c r="DA889">
        <v>483</v>
      </c>
      <c r="DB889">
        <v>0</v>
      </c>
      <c r="DC889" t="s">
        <v>169</v>
      </c>
      <c r="DD889" t="s">
        <v>170</v>
      </c>
      <c r="DG889">
        <v>7374232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1</v>
      </c>
      <c r="DQ889">
        <v>0</v>
      </c>
      <c r="DR889">
        <v>0</v>
      </c>
      <c r="DS889">
        <v>0</v>
      </c>
    </row>
    <row r="890" spans="1:123" x14ac:dyDescent="0.25">
      <c r="A890" t="str">
        <f>"11/29/2023 20:25:42.383"</f>
        <v>11/29/2023 20:25:42.383</v>
      </c>
      <c r="C890" t="str">
        <f t="shared" si="104"/>
        <v>FFDF53C0</v>
      </c>
      <c r="D890" t="s">
        <v>138</v>
      </c>
      <c r="E890">
        <v>3</v>
      </c>
      <c r="H890">
        <v>160</v>
      </c>
      <c r="I890" t="s">
        <v>124</v>
      </c>
      <c r="J890" t="s">
        <v>139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"20:25:41.805"</f>
        <v>20:25:41.805</v>
      </c>
      <c r="T890" t="str">
        <f>"20:25:39.405"</f>
        <v>20:25:39.405</v>
      </c>
      <c r="U890" t="str">
        <f t="shared" si="102"/>
        <v>AA0632</v>
      </c>
      <c r="V890">
        <v>0</v>
      </c>
      <c r="W890">
        <v>0</v>
      </c>
      <c r="X890">
        <v>2</v>
      </c>
      <c r="Y890">
        <v>0</v>
      </c>
      <c r="AA890">
        <v>0</v>
      </c>
      <c r="AB890">
        <v>9</v>
      </c>
      <c r="AC890">
        <v>3</v>
      </c>
      <c r="AD890">
        <v>0</v>
      </c>
      <c r="AE890">
        <v>10</v>
      </c>
      <c r="AF890" t="s">
        <v>126</v>
      </c>
      <c r="AG890">
        <v>0</v>
      </c>
      <c r="AH890">
        <v>0</v>
      </c>
      <c r="AI890">
        <v>2</v>
      </c>
      <c r="AJ890">
        <v>0</v>
      </c>
      <c r="AK890" t="s">
        <v>576</v>
      </c>
      <c r="AL890">
        <v>31.923072000000001</v>
      </c>
      <c r="AM890" t="s">
        <v>577</v>
      </c>
      <c r="AN890">
        <v>-100.99621999999999</v>
      </c>
      <c r="AQ890" t="s">
        <v>129</v>
      </c>
      <c r="AR890">
        <v>97</v>
      </c>
      <c r="AS890">
        <v>7</v>
      </c>
      <c r="AT890">
        <v>128</v>
      </c>
      <c r="BB890" t="str">
        <f t="shared" si="103"/>
        <v>1200</v>
      </c>
      <c r="BC890">
        <v>1</v>
      </c>
      <c r="BD890" t="str">
        <f t="shared" si="105"/>
        <v xml:space="preserve">N745MB  </v>
      </c>
      <c r="BE890">
        <v>1</v>
      </c>
      <c r="BG890">
        <v>0</v>
      </c>
      <c r="BH890">
        <v>0</v>
      </c>
      <c r="BI890">
        <v>0</v>
      </c>
      <c r="BL890" t="s">
        <v>130</v>
      </c>
      <c r="BM890">
        <v>1</v>
      </c>
      <c r="BN890">
        <v>0</v>
      </c>
      <c r="BO890">
        <v>0</v>
      </c>
      <c r="BP890">
        <v>0</v>
      </c>
      <c r="BT890">
        <v>0</v>
      </c>
      <c r="BU890">
        <v>0</v>
      </c>
      <c r="CE890" t="str">
        <f>"20:25:41.809"</f>
        <v>20:25:41.809</v>
      </c>
      <c r="CF890">
        <v>809436362</v>
      </c>
      <c r="CS890">
        <v>0</v>
      </c>
      <c r="CT890">
        <v>2</v>
      </c>
      <c r="CU890">
        <v>0</v>
      </c>
      <c r="CV890">
        <v>2</v>
      </c>
      <c r="CW890">
        <v>0</v>
      </c>
      <c r="CX890">
        <v>2</v>
      </c>
      <c r="CY890">
        <v>7</v>
      </c>
      <c r="CZ890" t="s">
        <v>131</v>
      </c>
      <c r="DA890">
        <v>483</v>
      </c>
      <c r="DB890">
        <v>0</v>
      </c>
      <c r="DC890" t="s">
        <v>169</v>
      </c>
      <c r="DD890" t="s">
        <v>170</v>
      </c>
      <c r="DG890">
        <v>7374232</v>
      </c>
      <c r="DI890">
        <v>0</v>
      </c>
      <c r="DJ890">
        <v>0</v>
      </c>
      <c r="DK890">
        <v>1</v>
      </c>
      <c r="DL890">
        <v>0</v>
      </c>
      <c r="DM890">
        <v>0</v>
      </c>
      <c r="DN890">
        <v>0</v>
      </c>
      <c r="DO890">
        <v>0</v>
      </c>
      <c r="DP890">
        <v>1</v>
      </c>
      <c r="DQ890">
        <v>0</v>
      </c>
      <c r="DR890">
        <v>0</v>
      </c>
      <c r="DS890">
        <v>0</v>
      </c>
    </row>
    <row r="891" spans="1:123" x14ac:dyDescent="0.25">
      <c r="A891" t="str">
        <f>"11/29/2023 20:25:42.383"</f>
        <v>11/29/2023 20:25:42.383</v>
      </c>
      <c r="C891" t="str">
        <f t="shared" si="104"/>
        <v>FFDF53C0</v>
      </c>
      <c r="D891" t="s">
        <v>123</v>
      </c>
      <c r="E891">
        <v>14</v>
      </c>
      <c r="F891">
        <v>1014</v>
      </c>
      <c r="G891" t="s">
        <v>124</v>
      </c>
      <c r="J891" t="s">
        <v>125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>"20:25:41.805"</f>
        <v>20:25:41.805</v>
      </c>
      <c r="T891" t="str">
        <f>"20:25:39.405"</f>
        <v>20:25:39.405</v>
      </c>
      <c r="U891" t="str">
        <f t="shared" si="102"/>
        <v>AA0632</v>
      </c>
      <c r="V891">
        <v>0</v>
      </c>
      <c r="W891">
        <v>0</v>
      </c>
      <c r="X891">
        <v>2</v>
      </c>
      <c r="Y891">
        <v>0</v>
      </c>
      <c r="AA891">
        <v>0</v>
      </c>
      <c r="AB891">
        <v>9</v>
      </c>
      <c r="AC891">
        <v>3</v>
      </c>
      <c r="AD891">
        <v>0</v>
      </c>
      <c r="AE891">
        <v>10</v>
      </c>
      <c r="AF891" t="s">
        <v>126</v>
      </c>
      <c r="AG891">
        <v>0</v>
      </c>
      <c r="AH891">
        <v>0</v>
      </c>
      <c r="AI891">
        <v>2</v>
      </c>
      <c r="AJ891">
        <v>0</v>
      </c>
      <c r="AK891" t="s">
        <v>576</v>
      </c>
      <c r="AL891">
        <v>31.923072000000001</v>
      </c>
      <c r="AM891" t="s">
        <v>577</v>
      </c>
      <c r="AN891">
        <v>-100.99621999999999</v>
      </c>
      <c r="AQ891" t="s">
        <v>129</v>
      </c>
      <c r="AR891">
        <v>97</v>
      </c>
      <c r="AS891">
        <v>7</v>
      </c>
      <c r="AT891">
        <v>128</v>
      </c>
      <c r="BB891" t="str">
        <f t="shared" si="103"/>
        <v>1200</v>
      </c>
      <c r="BC891">
        <v>1</v>
      </c>
      <c r="BD891" t="str">
        <f t="shared" si="105"/>
        <v xml:space="preserve">N745MB  </v>
      </c>
      <c r="BE891">
        <v>1</v>
      </c>
      <c r="BG891">
        <v>0</v>
      </c>
      <c r="BH891">
        <v>0</v>
      </c>
      <c r="BI891">
        <v>0</v>
      </c>
      <c r="BL891" t="s">
        <v>130</v>
      </c>
      <c r="BM891">
        <v>1</v>
      </c>
      <c r="BN891">
        <v>0</v>
      </c>
      <c r="BO891">
        <v>0</v>
      </c>
      <c r="BP891">
        <v>0</v>
      </c>
      <c r="BT891">
        <v>0</v>
      </c>
      <c r="BU891">
        <v>0</v>
      </c>
      <c r="CE891" t="str">
        <f>"20:25:41.809"</f>
        <v>20:25:41.809</v>
      </c>
      <c r="CF891">
        <v>809436362</v>
      </c>
      <c r="CS891">
        <v>0</v>
      </c>
      <c r="CT891">
        <v>2</v>
      </c>
      <c r="CU891">
        <v>0</v>
      </c>
      <c r="CV891">
        <v>2</v>
      </c>
      <c r="CW891">
        <v>0</v>
      </c>
      <c r="CX891">
        <v>2</v>
      </c>
      <c r="CY891">
        <v>7</v>
      </c>
      <c r="CZ891" t="s">
        <v>131</v>
      </c>
      <c r="DA891">
        <v>483</v>
      </c>
      <c r="DB891">
        <v>0</v>
      </c>
      <c r="DC891" t="s">
        <v>169</v>
      </c>
      <c r="DD891" t="s">
        <v>170</v>
      </c>
      <c r="DG891">
        <v>7374232</v>
      </c>
      <c r="DI891">
        <v>0</v>
      </c>
      <c r="DJ891">
        <v>0</v>
      </c>
      <c r="DK891">
        <v>1</v>
      </c>
      <c r="DL891">
        <v>0</v>
      </c>
      <c r="DM891">
        <v>0</v>
      </c>
      <c r="DN891">
        <v>0</v>
      </c>
      <c r="DO891">
        <v>0</v>
      </c>
      <c r="DP891">
        <v>1</v>
      </c>
      <c r="DQ891">
        <v>0</v>
      </c>
      <c r="DR891">
        <v>0</v>
      </c>
      <c r="DS891">
        <v>0</v>
      </c>
    </row>
    <row r="892" spans="1:123" x14ac:dyDescent="0.25">
      <c r="A892" t="str">
        <f>"11/29/2023 20:25:44.258"</f>
        <v>11/29/2023 20:25:44.258</v>
      </c>
      <c r="C892" t="str">
        <f t="shared" si="104"/>
        <v>FFDF53C0</v>
      </c>
      <c r="D892" t="s">
        <v>123</v>
      </c>
      <c r="E892">
        <v>1</v>
      </c>
      <c r="F892">
        <v>1001</v>
      </c>
      <c r="G892" t="s">
        <v>134</v>
      </c>
      <c r="J892" t="s">
        <v>125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>"20:25:43.867"</f>
        <v>20:25:43.867</v>
      </c>
      <c r="T892" t="str">
        <f>"20:25:43.667"</f>
        <v>20:25:43.667</v>
      </c>
      <c r="U892" t="str">
        <f t="shared" si="102"/>
        <v>AA0632</v>
      </c>
      <c r="V892">
        <v>0</v>
      </c>
      <c r="W892">
        <v>0</v>
      </c>
      <c r="X892">
        <v>2</v>
      </c>
      <c r="Y892">
        <v>0</v>
      </c>
      <c r="AA892">
        <v>0</v>
      </c>
      <c r="AB892">
        <v>9</v>
      </c>
      <c r="AC892">
        <v>3</v>
      </c>
      <c r="AD892">
        <v>0</v>
      </c>
      <c r="AE892">
        <v>10</v>
      </c>
      <c r="AF892" t="s">
        <v>126</v>
      </c>
      <c r="AG892">
        <v>0</v>
      </c>
      <c r="AH892">
        <v>0</v>
      </c>
      <c r="AI892">
        <v>2</v>
      </c>
      <c r="AJ892">
        <v>0</v>
      </c>
      <c r="AK892" t="s">
        <v>578</v>
      </c>
      <c r="AL892">
        <v>31.923114999999999</v>
      </c>
      <c r="AM892" t="s">
        <v>579</v>
      </c>
      <c r="AN892">
        <v>-100.995126</v>
      </c>
      <c r="AQ892" t="s">
        <v>129</v>
      </c>
      <c r="AR892">
        <v>98</v>
      </c>
      <c r="AS892">
        <v>4</v>
      </c>
      <c r="AT892">
        <v>-192</v>
      </c>
      <c r="BB892" t="str">
        <f t="shared" si="103"/>
        <v>1200</v>
      </c>
      <c r="BC892">
        <v>1</v>
      </c>
      <c r="BD892" t="str">
        <f t="shared" si="105"/>
        <v xml:space="preserve">N745MB  </v>
      </c>
      <c r="BE892">
        <v>1</v>
      </c>
      <c r="BG892">
        <v>0</v>
      </c>
      <c r="BH892">
        <v>0</v>
      </c>
      <c r="BI892">
        <v>0</v>
      </c>
      <c r="BL892" t="s">
        <v>130</v>
      </c>
      <c r="BM892">
        <v>1</v>
      </c>
      <c r="BN892">
        <v>0</v>
      </c>
      <c r="BO892">
        <v>0</v>
      </c>
      <c r="BP892">
        <v>0</v>
      </c>
      <c r="BT892">
        <v>0</v>
      </c>
      <c r="BU892">
        <v>0</v>
      </c>
      <c r="CE892" t="str">
        <f>"20:25:43.871"</f>
        <v>20:25:43.871</v>
      </c>
      <c r="CF892">
        <v>871288031</v>
      </c>
      <c r="CS892">
        <v>0</v>
      </c>
      <c r="CT892">
        <v>2</v>
      </c>
      <c r="CU892">
        <v>0</v>
      </c>
      <c r="CV892">
        <v>2</v>
      </c>
      <c r="CW892">
        <v>0</v>
      </c>
      <c r="CX892">
        <v>5</v>
      </c>
      <c r="CY892">
        <v>7</v>
      </c>
      <c r="CZ892" t="s">
        <v>131</v>
      </c>
      <c r="DA892">
        <v>116</v>
      </c>
      <c r="DB892">
        <v>0</v>
      </c>
      <c r="DC892" t="s">
        <v>132</v>
      </c>
      <c r="DD892" t="s">
        <v>133</v>
      </c>
      <c r="DG892">
        <v>14661643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1</v>
      </c>
      <c r="DQ892">
        <v>0</v>
      </c>
      <c r="DR892">
        <v>0</v>
      </c>
      <c r="DS892">
        <v>0</v>
      </c>
    </row>
    <row r="893" spans="1:123" x14ac:dyDescent="0.25">
      <c r="A893" t="str">
        <f>"11/29/2023 20:25:44.258"</f>
        <v>11/29/2023 20:25:44.258</v>
      </c>
      <c r="C893" t="str">
        <f t="shared" si="104"/>
        <v>FFDF53C0</v>
      </c>
      <c r="D893" t="s">
        <v>135</v>
      </c>
      <c r="E893">
        <v>31</v>
      </c>
      <c r="H893">
        <v>285</v>
      </c>
      <c r="I893" t="s">
        <v>136</v>
      </c>
      <c r="J893" t="s">
        <v>137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>"20:25:43.867"</f>
        <v>20:25:43.867</v>
      </c>
      <c r="T893" t="str">
        <f>"20:25:43.667"</f>
        <v>20:25:43.667</v>
      </c>
      <c r="U893" t="str">
        <f t="shared" si="102"/>
        <v>AA0632</v>
      </c>
      <c r="V893">
        <v>0</v>
      </c>
      <c r="W893">
        <v>0</v>
      </c>
      <c r="X893">
        <v>2</v>
      </c>
      <c r="Y893">
        <v>0</v>
      </c>
      <c r="AA893">
        <v>0</v>
      </c>
      <c r="AB893">
        <v>9</v>
      </c>
      <c r="AC893">
        <v>3</v>
      </c>
      <c r="AD893">
        <v>0</v>
      </c>
      <c r="AE893">
        <v>10</v>
      </c>
      <c r="AF893" t="s">
        <v>126</v>
      </c>
      <c r="AG893">
        <v>0</v>
      </c>
      <c r="AH893">
        <v>0</v>
      </c>
      <c r="AI893">
        <v>2</v>
      </c>
      <c r="AJ893">
        <v>0</v>
      </c>
      <c r="AK893" t="s">
        <v>578</v>
      </c>
      <c r="AL893">
        <v>31.923114999999999</v>
      </c>
      <c r="AM893" t="s">
        <v>579</v>
      </c>
      <c r="AN893">
        <v>-100.995126</v>
      </c>
      <c r="AQ893" t="s">
        <v>129</v>
      </c>
      <c r="AR893">
        <v>98</v>
      </c>
      <c r="AS893">
        <v>4</v>
      </c>
      <c r="AT893">
        <v>-192</v>
      </c>
      <c r="BB893" t="str">
        <f t="shared" si="103"/>
        <v>1200</v>
      </c>
      <c r="BC893">
        <v>1</v>
      </c>
      <c r="BD893" t="str">
        <f t="shared" si="105"/>
        <v xml:space="preserve">N745MB  </v>
      </c>
      <c r="BE893">
        <v>1</v>
      </c>
      <c r="BG893">
        <v>0</v>
      </c>
      <c r="BH893">
        <v>0</v>
      </c>
      <c r="BI893">
        <v>0</v>
      </c>
      <c r="BL893" t="s">
        <v>130</v>
      </c>
      <c r="BM893">
        <v>1</v>
      </c>
      <c r="BN893">
        <v>0</v>
      </c>
      <c r="BO893">
        <v>0</v>
      </c>
      <c r="BP893">
        <v>0</v>
      </c>
      <c r="BT893">
        <v>0</v>
      </c>
      <c r="BU893">
        <v>0</v>
      </c>
      <c r="CE893" t="str">
        <f>"20:25:43.871"</f>
        <v>20:25:43.871</v>
      </c>
      <c r="CF893">
        <v>871288031</v>
      </c>
      <c r="CS893">
        <v>0</v>
      </c>
      <c r="CT893">
        <v>2</v>
      </c>
      <c r="CU893">
        <v>0</v>
      </c>
      <c r="CV893">
        <v>2</v>
      </c>
      <c r="CW893">
        <v>0</v>
      </c>
      <c r="CX893">
        <v>5</v>
      </c>
      <c r="CY893">
        <v>7</v>
      </c>
      <c r="CZ893" t="s">
        <v>131</v>
      </c>
      <c r="DA893">
        <v>116</v>
      </c>
      <c r="DB893">
        <v>0</v>
      </c>
      <c r="DC893" t="s">
        <v>132</v>
      </c>
      <c r="DD893" t="s">
        <v>133</v>
      </c>
      <c r="DG893">
        <v>14661643</v>
      </c>
      <c r="DI893">
        <v>0</v>
      </c>
      <c r="DJ893">
        <v>0</v>
      </c>
      <c r="DK893">
        <v>1</v>
      </c>
      <c r="DL893">
        <v>0</v>
      </c>
      <c r="DM893">
        <v>0</v>
      </c>
      <c r="DN893">
        <v>0</v>
      </c>
      <c r="DO893">
        <v>0</v>
      </c>
      <c r="DP893">
        <v>1</v>
      </c>
      <c r="DQ893">
        <v>0</v>
      </c>
      <c r="DR893">
        <v>0</v>
      </c>
      <c r="DS893">
        <v>0</v>
      </c>
    </row>
    <row r="894" spans="1:123" x14ac:dyDescent="0.25">
      <c r="A894" t="str">
        <f>"11/29/2023 20:25:44.305"</f>
        <v>11/29/2023 20:25:44.305</v>
      </c>
      <c r="C894" t="str">
        <f t="shared" si="104"/>
        <v>FFDF53C0</v>
      </c>
      <c r="D894" t="s">
        <v>138</v>
      </c>
      <c r="E894">
        <v>3</v>
      </c>
      <c r="H894">
        <v>160</v>
      </c>
      <c r="I894" t="s">
        <v>124</v>
      </c>
      <c r="J894" t="s">
        <v>139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>"20:25:43.867"</f>
        <v>20:25:43.867</v>
      </c>
      <c r="T894" t="str">
        <f>"20:25:43.667"</f>
        <v>20:25:43.667</v>
      </c>
      <c r="U894" t="str">
        <f t="shared" si="102"/>
        <v>AA0632</v>
      </c>
      <c r="V894">
        <v>0</v>
      </c>
      <c r="W894">
        <v>0</v>
      </c>
      <c r="X894">
        <v>2</v>
      </c>
      <c r="Y894">
        <v>0</v>
      </c>
      <c r="AA894">
        <v>0</v>
      </c>
      <c r="AB894">
        <v>9</v>
      </c>
      <c r="AC894">
        <v>3</v>
      </c>
      <c r="AD894">
        <v>0</v>
      </c>
      <c r="AE894">
        <v>10</v>
      </c>
      <c r="AF894" t="s">
        <v>126</v>
      </c>
      <c r="AG894">
        <v>0</v>
      </c>
      <c r="AH894">
        <v>0</v>
      </c>
      <c r="AI894">
        <v>2</v>
      </c>
      <c r="AJ894">
        <v>0</v>
      </c>
      <c r="AK894" t="s">
        <v>578</v>
      </c>
      <c r="AL894">
        <v>31.923114999999999</v>
      </c>
      <c r="AM894" t="s">
        <v>579</v>
      </c>
      <c r="AN894">
        <v>-100.995126</v>
      </c>
      <c r="AQ894" t="s">
        <v>129</v>
      </c>
      <c r="AR894">
        <v>98</v>
      </c>
      <c r="AS894">
        <v>4</v>
      </c>
      <c r="AT894">
        <v>-192</v>
      </c>
      <c r="BB894" t="str">
        <f t="shared" si="103"/>
        <v>1200</v>
      </c>
      <c r="BC894">
        <v>1</v>
      </c>
      <c r="BD894" t="str">
        <f t="shared" si="105"/>
        <v xml:space="preserve">N745MB  </v>
      </c>
      <c r="BE894">
        <v>1</v>
      </c>
      <c r="BG894">
        <v>0</v>
      </c>
      <c r="BH894">
        <v>0</v>
      </c>
      <c r="BI894">
        <v>0</v>
      </c>
      <c r="BL894" t="s">
        <v>130</v>
      </c>
      <c r="BM894">
        <v>1</v>
      </c>
      <c r="BN894">
        <v>0</v>
      </c>
      <c r="BO894">
        <v>0</v>
      </c>
      <c r="BP894">
        <v>0</v>
      </c>
      <c r="BT894">
        <v>0</v>
      </c>
      <c r="BU894">
        <v>0</v>
      </c>
      <c r="CE894" t="str">
        <f>"20:25:43.871"</f>
        <v>20:25:43.871</v>
      </c>
      <c r="CF894">
        <v>871288031</v>
      </c>
      <c r="CS894">
        <v>0</v>
      </c>
      <c r="CT894">
        <v>2</v>
      </c>
      <c r="CU894">
        <v>0</v>
      </c>
      <c r="CV894">
        <v>2</v>
      </c>
      <c r="CW894">
        <v>0</v>
      </c>
      <c r="CX894">
        <v>5</v>
      </c>
      <c r="CY894">
        <v>7</v>
      </c>
      <c r="CZ894" t="s">
        <v>131</v>
      </c>
      <c r="DA894">
        <v>116</v>
      </c>
      <c r="DB894">
        <v>0</v>
      </c>
      <c r="DC894" t="s">
        <v>132</v>
      </c>
      <c r="DD894" t="s">
        <v>133</v>
      </c>
      <c r="DG894">
        <v>14661643</v>
      </c>
      <c r="DI894">
        <v>0</v>
      </c>
      <c r="DJ894">
        <v>0</v>
      </c>
      <c r="DK894">
        <v>1</v>
      </c>
      <c r="DL894">
        <v>0</v>
      </c>
      <c r="DM894">
        <v>0</v>
      </c>
      <c r="DN894">
        <v>0</v>
      </c>
      <c r="DO894">
        <v>0</v>
      </c>
      <c r="DP894">
        <v>1</v>
      </c>
      <c r="DQ894">
        <v>0</v>
      </c>
      <c r="DR894">
        <v>0</v>
      </c>
      <c r="DS894">
        <v>0</v>
      </c>
    </row>
    <row r="895" spans="1:123" x14ac:dyDescent="0.25">
      <c r="A895" t="str">
        <f>"11/29/2023 20:25:44.305"</f>
        <v>11/29/2023 20:25:44.305</v>
      </c>
      <c r="C895" t="str">
        <f t="shared" si="104"/>
        <v>FFDF53C0</v>
      </c>
      <c r="D895" t="s">
        <v>123</v>
      </c>
      <c r="E895">
        <v>14</v>
      </c>
      <c r="F895">
        <v>1014</v>
      </c>
      <c r="G895" t="s">
        <v>124</v>
      </c>
      <c r="J895" t="s">
        <v>125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>"20:25:43.867"</f>
        <v>20:25:43.867</v>
      </c>
      <c r="T895" t="str">
        <f>"20:25:43.667"</f>
        <v>20:25:43.667</v>
      </c>
      <c r="U895" t="str">
        <f t="shared" si="102"/>
        <v>AA0632</v>
      </c>
      <c r="V895">
        <v>0</v>
      </c>
      <c r="W895">
        <v>0</v>
      </c>
      <c r="X895">
        <v>2</v>
      </c>
      <c r="Y895">
        <v>0</v>
      </c>
      <c r="AA895">
        <v>0</v>
      </c>
      <c r="AB895">
        <v>9</v>
      </c>
      <c r="AC895">
        <v>3</v>
      </c>
      <c r="AD895">
        <v>0</v>
      </c>
      <c r="AE895">
        <v>10</v>
      </c>
      <c r="AF895" t="s">
        <v>126</v>
      </c>
      <c r="AG895">
        <v>0</v>
      </c>
      <c r="AH895">
        <v>0</v>
      </c>
      <c r="AI895">
        <v>2</v>
      </c>
      <c r="AJ895">
        <v>0</v>
      </c>
      <c r="AK895" t="s">
        <v>578</v>
      </c>
      <c r="AL895">
        <v>31.923114999999999</v>
      </c>
      <c r="AM895" t="s">
        <v>579</v>
      </c>
      <c r="AN895">
        <v>-100.995126</v>
      </c>
      <c r="AQ895" t="s">
        <v>129</v>
      </c>
      <c r="AR895">
        <v>98</v>
      </c>
      <c r="AS895">
        <v>4</v>
      </c>
      <c r="AT895">
        <v>-192</v>
      </c>
      <c r="BB895" t="str">
        <f t="shared" si="103"/>
        <v>1200</v>
      </c>
      <c r="BC895">
        <v>1</v>
      </c>
      <c r="BD895" t="str">
        <f t="shared" si="105"/>
        <v xml:space="preserve">N745MB  </v>
      </c>
      <c r="BE895">
        <v>1</v>
      </c>
      <c r="BG895">
        <v>0</v>
      </c>
      <c r="BH895">
        <v>0</v>
      </c>
      <c r="BI895">
        <v>0</v>
      </c>
      <c r="BL895" t="s">
        <v>130</v>
      </c>
      <c r="BM895">
        <v>1</v>
      </c>
      <c r="BN895">
        <v>0</v>
      </c>
      <c r="BO895">
        <v>0</v>
      </c>
      <c r="BP895">
        <v>0</v>
      </c>
      <c r="BT895">
        <v>0</v>
      </c>
      <c r="BU895">
        <v>0</v>
      </c>
      <c r="CE895" t="str">
        <f>"20:25:43.871"</f>
        <v>20:25:43.871</v>
      </c>
      <c r="CF895">
        <v>871288031</v>
      </c>
      <c r="CS895">
        <v>0</v>
      </c>
      <c r="CT895">
        <v>2</v>
      </c>
      <c r="CU895">
        <v>0</v>
      </c>
      <c r="CV895">
        <v>2</v>
      </c>
      <c r="CW895">
        <v>0</v>
      </c>
      <c r="CX895">
        <v>5</v>
      </c>
      <c r="CY895">
        <v>7</v>
      </c>
      <c r="CZ895" t="s">
        <v>131</v>
      </c>
      <c r="DA895">
        <v>116</v>
      </c>
      <c r="DB895">
        <v>0</v>
      </c>
      <c r="DC895" t="s">
        <v>132</v>
      </c>
      <c r="DD895" t="s">
        <v>133</v>
      </c>
      <c r="DG895">
        <v>14661643</v>
      </c>
      <c r="DI895">
        <v>0</v>
      </c>
      <c r="DJ895">
        <v>0</v>
      </c>
      <c r="DK895">
        <v>1</v>
      </c>
      <c r="DL895">
        <v>0</v>
      </c>
      <c r="DM895">
        <v>0</v>
      </c>
      <c r="DN895">
        <v>0</v>
      </c>
      <c r="DO895">
        <v>0</v>
      </c>
      <c r="DP895">
        <v>1</v>
      </c>
      <c r="DQ895">
        <v>0</v>
      </c>
      <c r="DR895">
        <v>0</v>
      </c>
      <c r="DS895">
        <v>0</v>
      </c>
    </row>
    <row r="896" spans="1:123" x14ac:dyDescent="0.25">
      <c r="A896" t="str">
        <f>"11/29/2023 20:25:45.618"</f>
        <v>11/29/2023 20:25:45.618</v>
      </c>
      <c r="C896" t="str">
        <f t="shared" si="104"/>
        <v>FFDF53C0</v>
      </c>
      <c r="D896" t="s">
        <v>164</v>
      </c>
      <c r="E896">
        <v>24</v>
      </c>
      <c r="F896">
        <v>2024</v>
      </c>
      <c r="G896" t="s">
        <v>165</v>
      </c>
      <c r="J896" t="s">
        <v>166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>"20:25:45.289"</f>
        <v>20:25:45.289</v>
      </c>
      <c r="T896" t="str">
        <f>"20:25:44.789"</f>
        <v>20:25:44.789</v>
      </c>
      <c r="U896" t="str">
        <f t="shared" si="102"/>
        <v>AA0632</v>
      </c>
      <c r="V896">
        <v>0</v>
      </c>
      <c r="W896">
        <v>0</v>
      </c>
      <c r="X896">
        <v>2</v>
      </c>
      <c r="Y896">
        <v>0</v>
      </c>
      <c r="AA896">
        <v>0</v>
      </c>
      <c r="AB896">
        <v>9</v>
      </c>
      <c r="AC896">
        <v>3</v>
      </c>
      <c r="AD896">
        <v>0</v>
      </c>
      <c r="AE896">
        <v>10</v>
      </c>
      <c r="AF896" t="s">
        <v>126</v>
      </c>
      <c r="AG896">
        <v>0</v>
      </c>
      <c r="AH896">
        <v>0</v>
      </c>
      <c r="AI896">
        <v>2</v>
      </c>
      <c r="AJ896">
        <v>0</v>
      </c>
      <c r="AK896" t="s">
        <v>580</v>
      </c>
      <c r="AL896">
        <v>31.923093999999999</v>
      </c>
      <c r="AM896" t="s">
        <v>581</v>
      </c>
      <c r="AN896">
        <v>-100.994353</v>
      </c>
      <c r="AQ896" t="s">
        <v>129</v>
      </c>
      <c r="AR896">
        <v>98</v>
      </c>
      <c r="AS896">
        <v>2</v>
      </c>
      <c r="AT896">
        <v>-128</v>
      </c>
      <c r="BB896" t="str">
        <f t="shared" si="103"/>
        <v>1200</v>
      </c>
      <c r="BC896">
        <v>1</v>
      </c>
      <c r="BD896" t="str">
        <f t="shared" si="105"/>
        <v xml:space="preserve">N745MB  </v>
      </c>
      <c r="BE896">
        <v>1</v>
      </c>
      <c r="BG896">
        <v>0</v>
      </c>
      <c r="BH896">
        <v>0</v>
      </c>
      <c r="BI896">
        <v>0</v>
      </c>
      <c r="BL896" t="s">
        <v>130</v>
      </c>
      <c r="BM896">
        <v>1</v>
      </c>
      <c r="BN896">
        <v>0</v>
      </c>
      <c r="BO896">
        <v>0</v>
      </c>
      <c r="BP896">
        <v>0</v>
      </c>
      <c r="BT896">
        <v>0</v>
      </c>
      <c r="BU896">
        <v>0</v>
      </c>
      <c r="CE896" t="str">
        <f>"20:25:45.289"</f>
        <v>20:25:45.289</v>
      </c>
      <c r="CF896">
        <v>289202803</v>
      </c>
      <c r="CS896">
        <v>0</v>
      </c>
      <c r="CT896">
        <v>2</v>
      </c>
      <c r="CU896">
        <v>0</v>
      </c>
      <c r="CV896">
        <v>2</v>
      </c>
      <c r="CW896">
        <v>0</v>
      </c>
      <c r="CX896">
        <v>4</v>
      </c>
      <c r="CY896">
        <v>7</v>
      </c>
      <c r="CZ896" t="s">
        <v>131</v>
      </c>
      <c r="DA896">
        <v>483</v>
      </c>
      <c r="DB896">
        <v>1</v>
      </c>
      <c r="DC896" t="s">
        <v>169</v>
      </c>
      <c r="DD896" t="s">
        <v>170</v>
      </c>
      <c r="DG896">
        <v>7374720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1</v>
      </c>
      <c r="DQ896">
        <v>0</v>
      </c>
      <c r="DR896">
        <v>0</v>
      </c>
      <c r="DS896">
        <v>0</v>
      </c>
    </row>
    <row r="897" spans="1:123" x14ac:dyDescent="0.25">
      <c r="A897" t="str">
        <f>"11/29/2023 20:25:45.633"</f>
        <v>11/29/2023 20:25:45.633</v>
      </c>
      <c r="C897" t="str">
        <f t="shared" si="104"/>
        <v>FFDF53C0</v>
      </c>
      <c r="D897" t="s">
        <v>135</v>
      </c>
      <c r="E897">
        <v>31</v>
      </c>
      <c r="H897">
        <v>285</v>
      </c>
      <c r="I897" t="s">
        <v>136</v>
      </c>
      <c r="J897" t="s">
        <v>137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>"20:25:45.289"</f>
        <v>20:25:45.289</v>
      </c>
      <c r="T897" t="str">
        <f>"20:25:45.189"</f>
        <v>20:25:45.189</v>
      </c>
      <c r="U897" t="str">
        <f t="shared" si="102"/>
        <v>AA0632</v>
      </c>
      <c r="V897">
        <v>0</v>
      </c>
      <c r="W897">
        <v>0</v>
      </c>
      <c r="X897">
        <v>2</v>
      </c>
      <c r="Y897">
        <v>0</v>
      </c>
      <c r="AA897">
        <v>0</v>
      </c>
      <c r="AB897">
        <v>9</v>
      </c>
      <c r="AC897">
        <v>3</v>
      </c>
      <c r="AD897">
        <v>0</v>
      </c>
      <c r="AE897">
        <v>10</v>
      </c>
      <c r="AF897" t="s">
        <v>126</v>
      </c>
      <c r="AG897">
        <v>0</v>
      </c>
      <c r="AH897">
        <v>0</v>
      </c>
      <c r="AI897">
        <v>2</v>
      </c>
      <c r="AJ897">
        <v>0</v>
      </c>
      <c r="AK897" t="s">
        <v>580</v>
      </c>
      <c r="AL897">
        <v>31.923093999999999</v>
      </c>
      <c r="AM897" t="s">
        <v>581</v>
      </c>
      <c r="AN897">
        <v>-100.994353</v>
      </c>
      <c r="AQ897" t="s">
        <v>129</v>
      </c>
      <c r="AR897">
        <v>98</v>
      </c>
      <c r="AS897">
        <v>2</v>
      </c>
      <c r="AT897">
        <v>-128</v>
      </c>
      <c r="BB897" t="str">
        <f t="shared" si="103"/>
        <v>1200</v>
      </c>
      <c r="BC897">
        <v>1</v>
      </c>
      <c r="BD897" t="str">
        <f t="shared" si="105"/>
        <v xml:space="preserve">N745MB  </v>
      </c>
      <c r="BE897">
        <v>1</v>
      </c>
      <c r="BG897">
        <v>0</v>
      </c>
      <c r="BH897">
        <v>0</v>
      </c>
      <c r="BI897">
        <v>0</v>
      </c>
      <c r="BL897" t="s">
        <v>130</v>
      </c>
      <c r="BM897">
        <v>1</v>
      </c>
      <c r="BN897">
        <v>0</v>
      </c>
      <c r="BO897">
        <v>0</v>
      </c>
      <c r="BP897">
        <v>0</v>
      </c>
      <c r="BT897">
        <v>0</v>
      </c>
      <c r="BU897">
        <v>0</v>
      </c>
      <c r="CE897" t="str">
        <f>"20:25:45.289"</f>
        <v>20:25:45.289</v>
      </c>
      <c r="CF897">
        <v>289194670</v>
      </c>
      <c r="CS897">
        <v>0</v>
      </c>
      <c r="CT897">
        <v>2</v>
      </c>
      <c r="CU897">
        <v>0</v>
      </c>
      <c r="CV897">
        <v>2</v>
      </c>
      <c r="CW897">
        <v>0</v>
      </c>
      <c r="CX897">
        <v>4</v>
      </c>
      <c r="CY897">
        <v>7</v>
      </c>
      <c r="CZ897" t="s">
        <v>131</v>
      </c>
      <c r="DA897">
        <v>116</v>
      </c>
      <c r="DB897">
        <v>0</v>
      </c>
      <c r="DC897" t="s">
        <v>132</v>
      </c>
      <c r="DD897" t="s">
        <v>133</v>
      </c>
      <c r="DG897">
        <v>14662811</v>
      </c>
      <c r="DI897">
        <v>0</v>
      </c>
      <c r="DJ897">
        <v>0</v>
      </c>
      <c r="DK897">
        <v>1</v>
      </c>
      <c r="DL897">
        <v>0</v>
      </c>
      <c r="DM897">
        <v>0</v>
      </c>
      <c r="DN897">
        <v>0</v>
      </c>
      <c r="DO897">
        <v>0</v>
      </c>
      <c r="DP897">
        <v>1</v>
      </c>
      <c r="DQ897">
        <v>0</v>
      </c>
      <c r="DR897">
        <v>0</v>
      </c>
      <c r="DS897">
        <v>0</v>
      </c>
    </row>
    <row r="898" spans="1:123" x14ac:dyDescent="0.25">
      <c r="A898" t="str">
        <f>"11/29/2023 20:25:45.680"</f>
        <v>11/29/2023 20:25:45.680</v>
      </c>
      <c r="C898" t="str">
        <f t="shared" si="104"/>
        <v>FFDF53C0</v>
      </c>
      <c r="D898" t="s">
        <v>138</v>
      </c>
      <c r="E898">
        <v>3</v>
      </c>
      <c r="H898">
        <v>160</v>
      </c>
      <c r="I898" t="s">
        <v>124</v>
      </c>
      <c r="J898" t="s">
        <v>139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>"20:25:45.289"</f>
        <v>20:25:45.289</v>
      </c>
      <c r="T898" t="str">
        <f>"20:25:45.189"</f>
        <v>20:25:45.189</v>
      </c>
      <c r="U898" t="str">
        <f t="shared" ref="U898:U961" si="107">"AA0632"</f>
        <v>AA0632</v>
      </c>
      <c r="V898">
        <v>0</v>
      </c>
      <c r="W898">
        <v>0</v>
      </c>
      <c r="X898">
        <v>2</v>
      </c>
      <c r="Y898">
        <v>0</v>
      </c>
      <c r="AA898">
        <v>0</v>
      </c>
      <c r="AB898">
        <v>9</v>
      </c>
      <c r="AC898">
        <v>3</v>
      </c>
      <c r="AD898">
        <v>0</v>
      </c>
      <c r="AE898">
        <v>10</v>
      </c>
      <c r="AF898" t="s">
        <v>126</v>
      </c>
      <c r="AG898">
        <v>0</v>
      </c>
      <c r="AH898">
        <v>0</v>
      </c>
      <c r="AI898">
        <v>2</v>
      </c>
      <c r="AJ898">
        <v>0</v>
      </c>
      <c r="AK898" t="s">
        <v>580</v>
      </c>
      <c r="AL898">
        <v>31.923093999999999</v>
      </c>
      <c r="AM898" t="s">
        <v>581</v>
      </c>
      <c r="AN898">
        <v>-100.994353</v>
      </c>
      <c r="AQ898" t="s">
        <v>129</v>
      </c>
      <c r="AR898">
        <v>98</v>
      </c>
      <c r="AS898">
        <v>2</v>
      </c>
      <c r="AT898">
        <v>-128</v>
      </c>
      <c r="BB898" t="str">
        <f t="shared" ref="BB898:BB961" si="108">"1200"</f>
        <v>1200</v>
      </c>
      <c r="BC898">
        <v>1</v>
      </c>
      <c r="BD898" t="str">
        <f t="shared" si="105"/>
        <v xml:space="preserve">N745MB  </v>
      </c>
      <c r="BE898">
        <v>1</v>
      </c>
      <c r="BG898">
        <v>0</v>
      </c>
      <c r="BH898">
        <v>0</v>
      </c>
      <c r="BI898">
        <v>0</v>
      </c>
      <c r="BL898" t="s">
        <v>130</v>
      </c>
      <c r="BM898">
        <v>1</v>
      </c>
      <c r="BN898">
        <v>0</v>
      </c>
      <c r="BO898">
        <v>0</v>
      </c>
      <c r="BP898">
        <v>0</v>
      </c>
      <c r="BT898">
        <v>0</v>
      </c>
      <c r="BU898">
        <v>0</v>
      </c>
      <c r="CE898" t="str">
        <f>"20:25:45.289"</f>
        <v>20:25:45.289</v>
      </c>
      <c r="CF898">
        <v>289194670</v>
      </c>
      <c r="CS898">
        <v>0</v>
      </c>
      <c r="CT898">
        <v>2</v>
      </c>
      <c r="CU898">
        <v>0</v>
      </c>
      <c r="CV898">
        <v>2</v>
      </c>
      <c r="CW898">
        <v>0</v>
      </c>
      <c r="CX898">
        <v>4</v>
      </c>
      <c r="CY898">
        <v>7</v>
      </c>
      <c r="CZ898" t="s">
        <v>131</v>
      </c>
      <c r="DA898">
        <v>116</v>
      </c>
      <c r="DB898">
        <v>0</v>
      </c>
      <c r="DC898" t="s">
        <v>132</v>
      </c>
      <c r="DD898" t="s">
        <v>133</v>
      </c>
      <c r="DG898">
        <v>14662811</v>
      </c>
      <c r="DI898">
        <v>0</v>
      </c>
      <c r="DJ898">
        <v>0</v>
      </c>
      <c r="DK898">
        <v>1</v>
      </c>
      <c r="DL898">
        <v>0</v>
      </c>
      <c r="DM898">
        <v>0</v>
      </c>
      <c r="DN898">
        <v>0</v>
      </c>
      <c r="DO898">
        <v>0</v>
      </c>
      <c r="DP898">
        <v>1</v>
      </c>
      <c r="DQ898">
        <v>0</v>
      </c>
      <c r="DR898">
        <v>0</v>
      </c>
      <c r="DS898">
        <v>0</v>
      </c>
    </row>
    <row r="899" spans="1:123" x14ac:dyDescent="0.25">
      <c r="A899" t="str">
        <f>"11/29/2023 20:25:45.680"</f>
        <v>11/29/2023 20:25:45.680</v>
      </c>
      <c r="C899" t="str">
        <f t="shared" si="104"/>
        <v>FFDF53C0</v>
      </c>
      <c r="D899" t="s">
        <v>123</v>
      </c>
      <c r="E899">
        <v>14</v>
      </c>
      <c r="F899">
        <v>1014</v>
      </c>
      <c r="G899" t="s">
        <v>124</v>
      </c>
      <c r="J899" t="s">
        <v>125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>"20:25:45.289"</f>
        <v>20:25:45.289</v>
      </c>
      <c r="T899" t="str">
        <f>"20:25:45.189"</f>
        <v>20:25:45.189</v>
      </c>
      <c r="U899" t="str">
        <f t="shared" si="107"/>
        <v>AA0632</v>
      </c>
      <c r="V899">
        <v>0</v>
      </c>
      <c r="W899">
        <v>0</v>
      </c>
      <c r="X899">
        <v>2</v>
      </c>
      <c r="Y899">
        <v>0</v>
      </c>
      <c r="AA899">
        <v>0</v>
      </c>
      <c r="AB899">
        <v>9</v>
      </c>
      <c r="AC899">
        <v>3</v>
      </c>
      <c r="AD899">
        <v>0</v>
      </c>
      <c r="AE899">
        <v>10</v>
      </c>
      <c r="AF899" t="s">
        <v>126</v>
      </c>
      <c r="AG899">
        <v>0</v>
      </c>
      <c r="AH899">
        <v>0</v>
      </c>
      <c r="AI899">
        <v>2</v>
      </c>
      <c r="AJ899">
        <v>0</v>
      </c>
      <c r="AK899" t="s">
        <v>580</v>
      </c>
      <c r="AL899">
        <v>31.923093999999999</v>
      </c>
      <c r="AM899" t="s">
        <v>581</v>
      </c>
      <c r="AN899">
        <v>-100.994353</v>
      </c>
      <c r="AQ899" t="s">
        <v>129</v>
      </c>
      <c r="AR899">
        <v>98</v>
      </c>
      <c r="AS899">
        <v>2</v>
      </c>
      <c r="AT899">
        <v>-128</v>
      </c>
      <c r="BB899" t="str">
        <f t="shared" si="108"/>
        <v>1200</v>
      </c>
      <c r="BC899">
        <v>1</v>
      </c>
      <c r="BD899" t="str">
        <f t="shared" si="105"/>
        <v xml:space="preserve">N745MB  </v>
      </c>
      <c r="BE899">
        <v>1</v>
      </c>
      <c r="BG899">
        <v>0</v>
      </c>
      <c r="BH899">
        <v>0</v>
      </c>
      <c r="BI899">
        <v>0</v>
      </c>
      <c r="BL899" t="s">
        <v>130</v>
      </c>
      <c r="BM899">
        <v>1</v>
      </c>
      <c r="BN899">
        <v>0</v>
      </c>
      <c r="BO899">
        <v>0</v>
      </c>
      <c r="BP899">
        <v>0</v>
      </c>
      <c r="BT899">
        <v>0</v>
      </c>
      <c r="BU899">
        <v>0</v>
      </c>
      <c r="CE899" t="str">
        <f>"20:25:45.289"</f>
        <v>20:25:45.289</v>
      </c>
      <c r="CF899">
        <v>289194670</v>
      </c>
      <c r="CS899">
        <v>0</v>
      </c>
      <c r="CT899">
        <v>2</v>
      </c>
      <c r="CU899">
        <v>0</v>
      </c>
      <c r="CV899">
        <v>2</v>
      </c>
      <c r="CW899">
        <v>0</v>
      </c>
      <c r="CX899">
        <v>4</v>
      </c>
      <c r="CY899">
        <v>7</v>
      </c>
      <c r="CZ899" t="s">
        <v>131</v>
      </c>
      <c r="DA899">
        <v>116</v>
      </c>
      <c r="DB899">
        <v>0</v>
      </c>
      <c r="DC899" t="s">
        <v>132</v>
      </c>
      <c r="DD899" t="s">
        <v>133</v>
      </c>
      <c r="DG899">
        <v>14662811</v>
      </c>
      <c r="DI899">
        <v>0</v>
      </c>
      <c r="DJ899">
        <v>0</v>
      </c>
      <c r="DK899">
        <v>1</v>
      </c>
      <c r="DL899">
        <v>0</v>
      </c>
      <c r="DM899">
        <v>0</v>
      </c>
      <c r="DN899">
        <v>0</v>
      </c>
      <c r="DO899">
        <v>0</v>
      </c>
      <c r="DP899">
        <v>1</v>
      </c>
      <c r="DQ899">
        <v>0</v>
      </c>
      <c r="DR899">
        <v>0</v>
      </c>
      <c r="DS899">
        <v>0</v>
      </c>
    </row>
    <row r="900" spans="1:123" x14ac:dyDescent="0.25">
      <c r="A900" t="str">
        <f>"11/29/2023 20:25:45.680"</f>
        <v>11/29/2023 20:25:45.680</v>
      </c>
      <c r="C900" t="str">
        <f t="shared" si="104"/>
        <v>FFDF53C0</v>
      </c>
      <c r="D900" t="s">
        <v>123</v>
      </c>
      <c r="E900">
        <v>1</v>
      </c>
      <c r="F900">
        <v>1001</v>
      </c>
      <c r="G900" t="s">
        <v>134</v>
      </c>
      <c r="J900" t="s">
        <v>125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>"20:25:45.289"</f>
        <v>20:25:45.289</v>
      </c>
      <c r="T900" t="str">
        <f>"20:25:45.189"</f>
        <v>20:25:45.189</v>
      </c>
      <c r="U900" t="str">
        <f t="shared" si="107"/>
        <v>AA0632</v>
      </c>
      <c r="V900">
        <v>0</v>
      </c>
      <c r="W900">
        <v>0</v>
      </c>
      <c r="X900">
        <v>2</v>
      </c>
      <c r="Y900">
        <v>0</v>
      </c>
      <c r="AA900">
        <v>0</v>
      </c>
      <c r="AB900">
        <v>9</v>
      </c>
      <c r="AC900">
        <v>3</v>
      </c>
      <c r="AD900">
        <v>0</v>
      </c>
      <c r="AE900">
        <v>10</v>
      </c>
      <c r="AF900" t="s">
        <v>126</v>
      </c>
      <c r="AG900">
        <v>0</v>
      </c>
      <c r="AH900">
        <v>0</v>
      </c>
      <c r="AI900">
        <v>2</v>
      </c>
      <c r="AJ900">
        <v>0</v>
      </c>
      <c r="AK900" t="s">
        <v>580</v>
      </c>
      <c r="AL900">
        <v>31.923093999999999</v>
      </c>
      <c r="AM900" t="s">
        <v>581</v>
      </c>
      <c r="AN900">
        <v>-100.994353</v>
      </c>
      <c r="AQ900" t="s">
        <v>129</v>
      </c>
      <c r="AR900">
        <v>98</v>
      </c>
      <c r="AS900">
        <v>2</v>
      </c>
      <c r="AT900">
        <v>-128</v>
      </c>
      <c r="BB900" t="str">
        <f t="shared" si="108"/>
        <v>1200</v>
      </c>
      <c r="BC900">
        <v>1</v>
      </c>
      <c r="BD900" t="str">
        <f t="shared" si="105"/>
        <v xml:space="preserve">N745MB  </v>
      </c>
      <c r="BE900">
        <v>1</v>
      </c>
      <c r="BG900">
        <v>0</v>
      </c>
      <c r="BH900">
        <v>0</v>
      </c>
      <c r="BI900">
        <v>0</v>
      </c>
      <c r="BL900" t="s">
        <v>130</v>
      </c>
      <c r="BM900">
        <v>1</v>
      </c>
      <c r="BN900">
        <v>0</v>
      </c>
      <c r="BO900">
        <v>0</v>
      </c>
      <c r="BP900">
        <v>0</v>
      </c>
      <c r="BT900">
        <v>0</v>
      </c>
      <c r="BU900">
        <v>0</v>
      </c>
      <c r="CE900" t="str">
        <f>"20:25:45.289"</f>
        <v>20:25:45.289</v>
      </c>
      <c r="CF900">
        <v>289194670</v>
      </c>
      <c r="CS900">
        <v>0</v>
      </c>
      <c r="CT900">
        <v>2</v>
      </c>
      <c r="CU900">
        <v>0</v>
      </c>
      <c r="CV900">
        <v>2</v>
      </c>
      <c r="CW900">
        <v>0</v>
      </c>
      <c r="CX900">
        <v>4</v>
      </c>
      <c r="CY900">
        <v>7</v>
      </c>
      <c r="CZ900" t="s">
        <v>131</v>
      </c>
      <c r="DA900">
        <v>116</v>
      </c>
      <c r="DB900">
        <v>0</v>
      </c>
      <c r="DC900" t="s">
        <v>132</v>
      </c>
      <c r="DD900" t="s">
        <v>133</v>
      </c>
      <c r="DG900">
        <v>14662811</v>
      </c>
      <c r="DI900">
        <v>0</v>
      </c>
      <c r="DJ900">
        <v>0</v>
      </c>
      <c r="DK900">
        <v>1</v>
      </c>
      <c r="DL900">
        <v>0</v>
      </c>
      <c r="DM900">
        <v>0</v>
      </c>
      <c r="DN900">
        <v>0</v>
      </c>
      <c r="DO900">
        <v>0</v>
      </c>
      <c r="DP900">
        <v>1</v>
      </c>
      <c r="DQ900">
        <v>0</v>
      </c>
      <c r="DR900">
        <v>0</v>
      </c>
      <c r="DS900">
        <v>0</v>
      </c>
    </row>
    <row r="901" spans="1:123" x14ac:dyDescent="0.25">
      <c r="A901" t="str">
        <f>"11/29/2023 20:25:46.352"</f>
        <v>11/29/2023 20:25:46.352</v>
      </c>
      <c r="C901" t="str">
        <f t="shared" si="104"/>
        <v>FFDF53C0</v>
      </c>
      <c r="D901" t="s">
        <v>164</v>
      </c>
      <c r="E901">
        <v>24</v>
      </c>
      <c r="F901">
        <v>2024</v>
      </c>
      <c r="G901" t="s">
        <v>165</v>
      </c>
      <c r="J901" t="s">
        <v>166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>"20:25:45.750"</f>
        <v>20:25:45.750</v>
      </c>
      <c r="T901" t="str">
        <f>"20:25:45.650"</f>
        <v>20:25:45.650</v>
      </c>
      <c r="U901" t="str">
        <f t="shared" si="107"/>
        <v>AA0632</v>
      </c>
      <c r="V901">
        <v>0</v>
      </c>
      <c r="W901">
        <v>0</v>
      </c>
      <c r="X901">
        <v>2</v>
      </c>
      <c r="Y901">
        <v>0</v>
      </c>
      <c r="AA901">
        <v>0</v>
      </c>
      <c r="AB901">
        <v>9</v>
      </c>
      <c r="AC901">
        <v>3</v>
      </c>
      <c r="AD901">
        <v>0</v>
      </c>
      <c r="AE901">
        <v>10</v>
      </c>
      <c r="AF901" t="s">
        <v>126</v>
      </c>
      <c r="AG901">
        <v>0</v>
      </c>
      <c r="AH901">
        <v>0</v>
      </c>
      <c r="AI901">
        <v>2</v>
      </c>
      <c r="AJ901">
        <v>0</v>
      </c>
      <c r="AK901" t="s">
        <v>580</v>
      </c>
      <c r="AL901">
        <v>31.923093999999999</v>
      </c>
      <c r="AM901" t="s">
        <v>582</v>
      </c>
      <c r="AN901">
        <v>-100.994117</v>
      </c>
      <c r="AQ901" t="s">
        <v>129</v>
      </c>
      <c r="AR901">
        <v>98</v>
      </c>
      <c r="AS901">
        <v>1</v>
      </c>
      <c r="AT901">
        <v>-128</v>
      </c>
      <c r="BB901" t="str">
        <f t="shared" si="108"/>
        <v>1200</v>
      </c>
      <c r="BC901">
        <v>1</v>
      </c>
      <c r="BD901" t="str">
        <f t="shared" si="105"/>
        <v xml:space="preserve">N745MB  </v>
      </c>
      <c r="BE901">
        <v>1</v>
      </c>
      <c r="BG901">
        <v>0</v>
      </c>
      <c r="BH901">
        <v>0</v>
      </c>
      <c r="BI901">
        <v>0</v>
      </c>
      <c r="BL901" t="s">
        <v>130</v>
      </c>
      <c r="BM901">
        <v>1</v>
      </c>
      <c r="BN901">
        <v>0</v>
      </c>
      <c r="BO901">
        <v>0</v>
      </c>
      <c r="BP901">
        <v>0</v>
      </c>
      <c r="BT901">
        <v>0</v>
      </c>
      <c r="BU901">
        <v>0</v>
      </c>
      <c r="CE901" t="str">
        <f>"20:25:45.755"</f>
        <v>20:25:45.755</v>
      </c>
      <c r="CF901">
        <v>755169381</v>
      </c>
      <c r="CS901">
        <v>0</v>
      </c>
      <c r="CT901">
        <v>2</v>
      </c>
      <c r="CU901">
        <v>0</v>
      </c>
      <c r="CV901">
        <v>2</v>
      </c>
      <c r="CW901">
        <v>0</v>
      </c>
      <c r="CX901">
        <v>4</v>
      </c>
      <c r="CY901">
        <v>7</v>
      </c>
      <c r="CZ901" t="s">
        <v>131</v>
      </c>
      <c r="DA901">
        <v>483</v>
      </c>
      <c r="DB901">
        <v>1</v>
      </c>
      <c r="DC901" t="s">
        <v>169</v>
      </c>
      <c r="DD901" t="s">
        <v>170</v>
      </c>
      <c r="DG901">
        <v>7374788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1</v>
      </c>
      <c r="DQ901">
        <v>0</v>
      </c>
      <c r="DR901">
        <v>0</v>
      </c>
      <c r="DS901">
        <v>0</v>
      </c>
    </row>
    <row r="902" spans="1:123" x14ac:dyDescent="0.25">
      <c r="A902" t="str">
        <f>"11/29/2023 20:25:46.430"</f>
        <v>11/29/2023 20:25:46.430</v>
      </c>
      <c r="C902" t="str">
        <f t="shared" si="104"/>
        <v>FFDF53C0</v>
      </c>
      <c r="D902" t="s">
        <v>138</v>
      </c>
      <c r="E902">
        <v>3</v>
      </c>
      <c r="H902">
        <v>160</v>
      </c>
      <c r="I902" t="s">
        <v>124</v>
      </c>
      <c r="J902" t="s">
        <v>139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>"20:25:45.750"</f>
        <v>20:25:45.750</v>
      </c>
      <c r="T902" t="str">
        <f>"20:25:45.650"</f>
        <v>20:25:45.650</v>
      </c>
      <c r="U902" t="str">
        <f t="shared" si="107"/>
        <v>AA0632</v>
      </c>
      <c r="V902">
        <v>0</v>
      </c>
      <c r="W902">
        <v>0</v>
      </c>
      <c r="X902">
        <v>2</v>
      </c>
      <c r="Y902">
        <v>0</v>
      </c>
      <c r="AA902">
        <v>0</v>
      </c>
      <c r="AB902">
        <v>9</v>
      </c>
      <c r="AC902">
        <v>3</v>
      </c>
      <c r="AD902">
        <v>0</v>
      </c>
      <c r="AE902">
        <v>10</v>
      </c>
      <c r="AF902" t="s">
        <v>126</v>
      </c>
      <c r="AG902">
        <v>0</v>
      </c>
      <c r="AH902">
        <v>0</v>
      </c>
      <c r="AI902">
        <v>2</v>
      </c>
      <c r="AJ902">
        <v>0</v>
      </c>
      <c r="AK902" t="s">
        <v>580</v>
      </c>
      <c r="AL902">
        <v>31.923093999999999</v>
      </c>
      <c r="AM902" t="s">
        <v>582</v>
      </c>
      <c r="AN902">
        <v>-100.994117</v>
      </c>
      <c r="AQ902" t="s">
        <v>129</v>
      </c>
      <c r="AR902">
        <v>98</v>
      </c>
      <c r="AS902">
        <v>1</v>
      </c>
      <c r="AT902">
        <v>-128</v>
      </c>
      <c r="BB902" t="str">
        <f t="shared" si="108"/>
        <v>1200</v>
      </c>
      <c r="BC902">
        <v>1</v>
      </c>
      <c r="BD902" t="str">
        <f t="shared" si="105"/>
        <v xml:space="preserve">N745MB  </v>
      </c>
      <c r="BE902">
        <v>1</v>
      </c>
      <c r="BG902">
        <v>0</v>
      </c>
      <c r="BH902">
        <v>0</v>
      </c>
      <c r="BI902">
        <v>0</v>
      </c>
      <c r="BL902" t="s">
        <v>130</v>
      </c>
      <c r="BM902">
        <v>1</v>
      </c>
      <c r="BN902">
        <v>0</v>
      </c>
      <c r="BO902">
        <v>0</v>
      </c>
      <c r="BP902">
        <v>0</v>
      </c>
      <c r="BT902">
        <v>0</v>
      </c>
      <c r="BU902">
        <v>0</v>
      </c>
      <c r="CE902" t="str">
        <f>"20:25:45.755"</f>
        <v>20:25:45.755</v>
      </c>
      <c r="CF902">
        <v>755169381</v>
      </c>
      <c r="CS902">
        <v>0</v>
      </c>
      <c r="CT902">
        <v>2</v>
      </c>
      <c r="CU902">
        <v>0</v>
      </c>
      <c r="CV902">
        <v>2</v>
      </c>
      <c r="CW902">
        <v>0</v>
      </c>
      <c r="CX902">
        <v>4</v>
      </c>
      <c r="CY902">
        <v>7</v>
      </c>
      <c r="CZ902" t="s">
        <v>131</v>
      </c>
      <c r="DA902">
        <v>483</v>
      </c>
      <c r="DB902">
        <v>1</v>
      </c>
      <c r="DC902" t="s">
        <v>169</v>
      </c>
      <c r="DD902" t="s">
        <v>170</v>
      </c>
      <c r="DG902">
        <v>7374788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1</v>
      </c>
      <c r="DQ902">
        <v>0</v>
      </c>
      <c r="DR902">
        <v>0</v>
      </c>
      <c r="DS902">
        <v>0</v>
      </c>
    </row>
    <row r="903" spans="1:123" x14ac:dyDescent="0.25">
      <c r="A903" t="str">
        <f>"11/29/2023 20:25:46.430"</f>
        <v>11/29/2023 20:25:46.430</v>
      </c>
      <c r="C903" t="str">
        <f t="shared" si="104"/>
        <v>FFDF53C0</v>
      </c>
      <c r="D903" t="s">
        <v>123</v>
      </c>
      <c r="E903">
        <v>14</v>
      </c>
      <c r="F903">
        <v>1014</v>
      </c>
      <c r="G903" t="s">
        <v>124</v>
      </c>
      <c r="J903" t="s">
        <v>125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>"20:25:45.750"</f>
        <v>20:25:45.750</v>
      </c>
      <c r="T903" t="str">
        <f>"20:25:45.650"</f>
        <v>20:25:45.650</v>
      </c>
      <c r="U903" t="str">
        <f t="shared" si="107"/>
        <v>AA0632</v>
      </c>
      <c r="V903">
        <v>0</v>
      </c>
      <c r="W903">
        <v>0</v>
      </c>
      <c r="X903">
        <v>2</v>
      </c>
      <c r="Y903">
        <v>0</v>
      </c>
      <c r="AA903">
        <v>0</v>
      </c>
      <c r="AB903">
        <v>9</v>
      </c>
      <c r="AC903">
        <v>3</v>
      </c>
      <c r="AD903">
        <v>0</v>
      </c>
      <c r="AE903">
        <v>10</v>
      </c>
      <c r="AF903" t="s">
        <v>126</v>
      </c>
      <c r="AG903">
        <v>0</v>
      </c>
      <c r="AH903">
        <v>0</v>
      </c>
      <c r="AI903">
        <v>2</v>
      </c>
      <c r="AJ903">
        <v>0</v>
      </c>
      <c r="AK903" t="s">
        <v>580</v>
      </c>
      <c r="AL903">
        <v>31.923093999999999</v>
      </c>
      <c r="AM903" t="s">
        <v>582</v>
      </c>
      <c r="AN903">
        <v>-100.994117</v>
      </c>
      <c r="AQ903" t="s">
        <v>129</v>
      </c>
      <c r="AR903">
        <v>98</v>
      </c>
      <c r="AS903">
        <v>1</v>
      </c>
      <c r="AT903">
        <v>-128</v>
      </c>
      <c r="BB903" t="str">
        <f t="shared" si="108"/>
        <v>1200</v>
      </c>
      <c r="BC903">
        <v>1</v>
      </c>
      <c r="BD903" t="str">
        <f t="shared" si="105"/>
        <v xml:space="preserve">N745MB  </v>
      </c>
      <c r="BE903">
        <v>1</v>
      </c>
      <c r="BG903">
        <v>0</v>
      </c>
      <c r="BH903">
        <v>0</v>
      </c>
      <c r="BI903">
        <v>0</v>
      </c>
      <c r="BL903" t="s">
        <v>130</v>
      </c>
      <c r="BM903">
        <v>1</v>
      </c>
      <c r="BN903">
        <v>0</v>
      </c>
      <c r="BO903">
        <v>0</v>
      </c>
      <c r="BP903">
        <v>0</v>
      </c>
      <c r="BT903">
        <v>0</v>
      </c>
      <c r="BU903">
        <v>0</v>
      </c>
      <c r="CE903" t="str">
        <f>"20:25:45.755"</f>
        <v>20:25:45.755</v>
      </c>
      <c r="CF903">
        <v>755169381</v>
      </c>
      <c r="CS903">
        <v>0</v>
      </c>
      <c r="CT903">
        <v>2</v>
      </c>
      <c r="CU903">
        <v>0</v>
      </c>
      <c r="CV903">
        <v>2</v>
      </c>
      <c r="CW903">
        <v>0</v>
      </c>
      <c r="CX903">
        <v>4</v>
      </c>
      <c r="CY903">
        <v>7</v>
      </c>
      <c r="CZ903" t="s">
        <v>131</v>
      </c>
      <c r="DA903">
        <v>483</v>
      </c>
      <c r="DB903">
        <v>1</v>
      </c>
      <c r="DC903" t="s">
        <v>169</v>
      </c>
      <c r="DD903" t="s">
        <v>170</v>
      </c>
      <c r="DG903">
        <v>7374788</v>
      </c>
      <c r="DI903">
        <v>0</v>
      </c>
      <c r="DJ903">
        <v>0</v>
      </c>
      <c r="DK903">
        <v>1</v>
      </c>
      <c r="DL903">
        <v>0</v>
      </c>
      <c r="DM903">
        <v>0</v>
      </c>
      <c r="DN903">
        <v>0</v>
      </c>
      <c r="DO903">
        <v>0</v>
      </c>
      <c r="DP903">
        <v>1</v>
      </c>
      <c r="DQ903">
        <v>0</v>
      </c>
      <c r="DR903">
        <v>0</v>
      </c>
      <c r="DS903">
        <v>0</v>
      </c>
    </row>
    <row r="904" spans="1:123" x14ac:dyDescent="0.25">
      <c r="A904" t="str">
        <f>"11/29/2023 20:25:47.180"</f>
        <v>11/29/2023 20:25:47.180</v>
      </c>
      <c r="C904" t="str">
        <f t="shared" si="104"/>
        <v>FFDF53C0</v>
      </c>
      <c r="D904" t="s">
        <v>135</v>
      </c>
      <c r="E904">
        <v>31</v>
      </c>
      <c r="H904">
        <v>285</v>
      </c>
      <c r="I904" t="s">
        <v>136</v>
      </c>
      <c r="J904" t="s">
        <v>137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>"20:25:46.820"</f>
        <v>20:25:46.820</v>
      </c>
      <c r="T904" t="str">
        <f>"20:25:46.620"</f>
        <v>20:25:46.620</v>
      </c>
      <c r="U904" t="str">
        <f t="shared" si="107"/>
        <v>AA0632</v>
      </c>
      <c r="V904">
        <v>0</v>
      </c>
      <c r="W904">
        <v>0</v>
      </c>
      <c r="X904">
        <v>2</v>
      </c>
      <c r="Y904">
        <v>0</v>
      </c>
      <c r="AA904">
        <v>0</v>
      </c>
      <c r="AB904">
        <v>9</v>
      </c>
      <c r="AC904">
        <v>3</v>
      </c>
      <c r="AD904">
        <v>0</v>
      </c>
      <c r="AE904">
        <v>10</v>
      </c>
      <c r="AF904" t="s">
        <v>126</v>
      </c>
      <c r="AG904">
        <v>0</v>
      </c>
      <c r="AH904">
        <v>0</v>
      </c>
      <c r="AI904">
        <v>2</v>
      </c>
      <c r="AJ904">
        <v>0</v>
      </c>
      <c r="AK904" t="s">
        <v>578</v>
      </c>
      <c r="AL904">
        <v>31.923114999999999</v>
      </c>
      <c r="AM904" t="s">
        <v>583</v>
      </c>
      <c r="AN904">
        <v>-100.993516</v>
      </c>
      <c r="AQ904" t="s">
        <v>129</v>
      </c>
      <c r="AR904">
        <v>98</v>
      </c>
      <c r="AS904">
        <v>0</v>
      </c>
      <c r="AT904">
        <v>-128</v>
      </c>
      <c r="BB904" t="str">
        <f t="shared" si="108"/>
        <v>1200</v>
      </c>
      <c r="BC904">
        <v>1</v>
      </c>
      <c r="BD904" t="str">
        <f t="shared" si="105"/>
        <v xml:space="preserve">N745MB  </v>
      </c>
      <c r="BE904">
        <v>1</v>
      </c>
      <c r="BG904">
        <v>0</v>
      </c>
      <c r="BH904">
        <v>0</v>
      </c>
      <c r="BI904">
        <v>0</v>
      </c>
      <c r="BL904" t="s">
        <v>130</v>
      </c>
      <c r="BM904">
        <v>1</v>
      </c>
      <c r="BN904">
        <v>0</v>
      </c>
      <c r="BO904">
        <v>0</v>
      </c>
      <c r="BP904">
        <v>0</v>
      </c>
      <c r="BT904">
        <v>0</v>
      </c>
      <c r="BU904">
        <v>0</v>
      </c>
      <c r="CE904" t="str">
        <f>"20:25:46.827"</f>
        <v>20:25:46.827</v>
      </c>
      <c r="CF904">
        <v>827089570</v>
      </c>
      <c r="CS904">
        <v>0</v>
      </c>
      <c r="CT904">
        <v>2</v>
      </c>
      <c r="CU904">
        <v>0</v>
      </c>
      <c r="CV904">
        <v>2</v>
      </c>
      <c r="CW904">
        <v>0</v>
      </c>
      <c r="CX904">
        <v>4</v>
      </c>
      <c r="CY904">
        <v>7</v>
      </c>
      <c r="CZ904" t="s">
        <v>131</v>
      </c>
      <c r="DA904">
        <v>116</v>
      </c>
      <c r="DB904">
        <v>3</v>
      </c>
      <c r="DC904" t="s">
        <v>132</v>
      </c>
      <c r="DD904" t="s">
        <v>133</v>
      </c>
      <c r="DG904">
        <v>8406801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1</v>
      </c>
      <c r="DQ904">
        <v>0</v>
      </c>
      <c r="DR904">
        <v>0</v>
      </c>
      <c r="DS904">
        <v>0</v>
      </c>
    </row>
    <row r="905" spans="1:123" x14ac:dyDescent="0.25">
      <c r="A905" t="str">
        <f>"11/29/2023 20:25:47.180"</f>
        <v>11/29/2023 20:25:47.180</v>
      </c>
      <c r="C905" t="str">
        <f t="shared" si="104"/>
        <v>FFDF53C0</v>
      </c>
      <c r="D905" t="s">
        <v>138</v>
      </c>
      <c r="E905">
        <v>3</v>
      </c>
      <c r="H905">
        <v>160</v>
      </c>
      <c r="I905" t="s">
        <v>124</v>
      </c>
      <c r="J905" t="s">
        <v>139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>"20:25:46.820"</f>
        <v>20:25:46.820</v>
      </c>
      <c r="T905" t="str">
        <f>"20:25:46.620"</f>
        <v>20:25:46.620</v>
      </c>
      <c r="U905" t="str">
        <f t="shared" si="107"/>
        <v>AA0632</v>
      </c>
      <c r="V905">
        <v>0</v>
      </c>
      <c r="W905">
        <v>0</v>
      </c>
      <c r="X905">
        <v>2</v>
      </c>
      <c r="Y905">
        <v>0</v>
      </c>
      <c r="AA905">
        <v>0</v>
      </c>
      <c r="AB905">
        <v>9</v>
      </c>
      <c r="AC905">
        <v>3</v>
      </c>
      <c r="AD905">
        <v>0</v>
      </c>
      <c r="AE905">
        <v>10</v>
      </c>
      <c r="AF905" t="s">
        <v>126</v>
      </c>
      <c r="AG905">
        <v>0</v>
      </c>
      <c r="AH905">
        <v>0</v>
      </c>
      <c r="AI905">
        <v>2</v>
      </c>
      <c r="AJ905">
        <v>0</v>
      </c>
      <c r="AK905" t="s">
        <v>578</v>
      </c>
      <c r="AL905">
        <v>31.923114999999999</v>
      </c>
      <c r="AM905" t="s">
        <v>583</v>
      </c>
      <c r="AN905">
        <v>-100.993516</v>
      </c>
      <c r="AQ905" t="s">
        <v>129</v>
      </c>
      <c r="AR905">
        <v>98</v>
      </c>
      <c r="AS905">
        <v>0</v>
      </c>
      <c r="AT905">
        <v>-128</v>
      </c>
      <c r="BB905" t="str">
        <f t="shared" si="108"/>
        <v>1200</v>
      </c>
      <c r="BC905">
        <v>1</v>
      </c>
      <c r="BD905" t="str">
        <f t="shared" si="105"/>
        <v xml:space="preserve">N745MB  </v>
      </c>
      <c r="BE905">
        <v>1</v>
      </c>
      <c r="BG905">
        <v>0</v>
      </c>
      <c r="BH905">
        <v>0</v>
      </c>
      <c r="BI905">
        <v>0</v>
      </c>
      <c r="BL905" t="s">
        <v>130</v>
      </c>
      <c r="BM905">
        <v>1</v>
      </c>
      <c r="BN905">
        <v>0</v>
      </c>
      <c r="BO905">
        <v>0</v>
      </c>
      <c r="BP905">
        <v>0</v>
      </c>
      <c r="BT905">
        <v>0</v>
      </c>
      <c r="BU905">
        <v>0</v>
      </c>
      <c r="CE905" t="str">
        <f>"20:25:46.827"</f>
        <v>20:25:46.827</v>
      </c>
      <c r="CF905">
        <v>827089570</v>
      </c>
      <c r="CS905">
        <v>0</v>
      </c>
      <c r="CT905">
        <v>2</v>
      </c>
      <c r="CU905">
        <v>0</v>
      </c>
      <c r="CV905">
        <v>2</v>
      </c>
      <c r="CW905">
        <v>0</v>
      </c>
      <c r="CX905">
        <v>4</v>
      </c>
      <c r="CY905">
        <v>7</v>
      </c>
      <c r="CZ905" t="s">
        <v>131</v>
      </c>
      <c r="DA905">
        <v>116</v>
      </c>
      <c r="DB905">
        <v>3</v>
      </c>
      <c r="DC905" t="s">
        <v>132</v>
      </c>
      <c r="DD905" t="s">
        <v>133</v>
      </c>
      <c r="DG905">
        <v>8406801</v>
      </c>
      <c r="DI905">
        <v>0</v>
      </c>
      <c r="DJ905">
        <v>0</v>
      </c>
      <c r="DK905">
        <v>1</v>
      </c>
      <c r="DL905">
        <v>0</v>
      </c>
      <c r="DM905">
        <v>0</v>
      </c>
      <c r="DN905">
        <v>0</v>
      </c>
      <c r="DO905">
        <v>0</v>
      </c>
      <c r="DP905">
        <v>1</v>
      </c>
      <c r="DQ905">
        <v>0</v>
      </c>
      <c r="DR905">
        <v>0</v>
      </c>
      <c r="DS905">
        <v>0</v>
      </c>
    </row>
    <row r="906" spans="1:123" x14ac:dyDescent="0.25">
      <c r="A906" t="str">
        <f>"11/29/2023 20:25:47.180"</f>
        <v>11/29/2023 20:25:47.180</v>
      </c>
      <c r="C906" t="str">
        <f t="shared" si="104"/>
        <v>FFDF53C0</v>
      </c>
      <c r="D906" t="s">
        <v>123</v>
      </c>
      <c r="E906">
        <v>14</v>
      </c>
      <c r="F906">
        <v>1014</v>
      </c>
      <c r="G906" t="s">
        <v>124</v>
      </c>
      <c r="J906" t="s">
        <v>125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>"20:25:46.820"</f>
        <v>20:25:46.820</v>
      </c>
      <c r="T906" t="str">
        <f>"20:25:46.620"</f>
        <v>20:25:46.620</v>
      </c>
      <c r="U906" t="str">
        <f t="shared" si="107"/>
        <v>AA0632</v>
      </c>
      <c r="V906">
        <v>0</v>
      </c>
      <c r="W906">
        <v>0</v>
      </c>
      <c r="X906">
        <v>2</v>
      </c>
      <c r="Y906">
        <v>0</v>
      </c>
      <c r="AA906">
        <v>0</v>
      </c>
      <c r="AB906">
        <v>9</v>
      </c>
      <c r="AC906">
        <v>3</v>
      </c>
      <c r="AD906">
        <v>0</v>
      </c>
      <c r="AE906">
        <v>10</v>
      </c>
      <c r="AF906" t="s">
        <v>126</v>
      </c>
      <c r="AG906">
        <v>0</v>
      </c>
      <c r="AH906">
        <v>0</v>
      </c>
      <c r="AI906">
        <v>2</v>
      </c>
      <c r="AJ906">
        <v>0</v>
      </c>
      <c r="AK906" t="s">
        <v>578</v>
      </c>
      <c r="AL906">
        <v>31.923114999999999</v>
      </c>
      <c r="AM906" t="s">
        <v>583</v>
      </c>
      <c r="AN906">
        <v>-100.993516</v>
      </c>
      <c r="AQ906" t="s">
        <v>129</v>
      </c>
      <c r="AR906">
        <v>98</v>
      </c>
      <c r="AS906">
        <v>0</v>
      </c>
      <c r="AT906">
        <v>-128</v>
      </c>
      <c r="BB906" t="str">
        <f t="shared" si="108"/>
        <v>1200</v>
      </c>
      <c r="BC906">
        <v>1</v>
      </c>
      <c r="BD906" t="str">
        <f t="shared" si="105"/>
        <v xml:space="preserve">N745MB  </v>
      </c>
      <c r="BE906">
        <v>1</v>
      </c>
      <c r="BG906">
        <v>0</v>
      </c>
      <c r="BH906">
        <v>0</v>
      </c>
      <c r="BI906">
        <v>0</v>
      </c>
      <c r="BL906" t="s">
        <v>130</v>
      </c>
      <c r="BM906">
        <v>1</v>
      </c>
      <c r="BN906">
        <v>0</v>
      </c>
      <c r="BO906">
        <v>0</v>
      </c>
      <c r="BP906">
        <v>0</v>
      </c>
      <c r="BT906">
        <v>0</v>
      </c>
      <c r="BU906">
        <v>0</v>
      </c>
      <c r="CE906" t="str">
        <f>"20:25:46.827"</f>
        <v>20:25:46.827</v>
      </c>
      <c r="CF906">
        <v>827089570</v>
      </c>
      <c r="CS906">
        <v>0</v>
      </c>
      <c r="CT906">
        <v>2</v>
      </c>
      <c r="CU906">
        <v>0</v>
      </c>
      <c r="CV906">
        <v>2</v>
      </c>
      <c r="CW906">
        <v>0</v>
      </c>
      <c r="CX906">
        <v>4</v>
      </c>
      <c r="CY906">
        <v>7</v>
      </c>
      <c r="CZ906" t="s">
        <v>131</v>
      </c>
      <c r="DA906">
        <v>116</v>
      </c>
      <c r="DB906">
        <v>3</v>
      </c>
      <c r="DC906" t="s">
        <v>132</v>
      </c>
      <c r="DD906" t="s">
        <v>133</v>
      </c>
      <c r="DG906">
        <v>8406801</v>
      </c>
      <c r="DI906">
        <v>0</v>
      </c>
      <c r="DJ906">
        <v>0</v>
      </c>
      <c r="DK906">
        <v>1</v>
      </c>
      <c r="DL906">
        <v>0</v>
      </c>
      <c r="DM906">
        <v>0</v>
      </c>
      <c r="DN906">
        <v>0</v>
      </c>
      <c r="DO906">
        <v>0</v>
      </c>
      <c r="DP906">
        <v>1</v>
      </c>
      <c r="DQ906">
        <v>0</v>
      </c>
      <c r="DR906">
        <v>0</v>
      </c>
      <c r="DS906">
        <v>0</v>
      </c>
    </row>
    <row r="907" spans="1:123" x14ac:dyDescent="0.25">
      <c r="A907" t="str">
        <f>"11/29/2023 20:25:47.180"</f>
        <v>11/29/2023 20:25:47.180</v>
      </c>
      <c r="C907" t="str">
        <f t="shared" si="104"/>
        <v>FFDF53C0</v>
      </c>
      <c r="D907" t="s">
        <v>123</v>
      </c>
      <c r="E907">
        <v>1</v>
      </c>
      <c r="F907">
        <v>1001</v>
      </c>
      <c r="G907" t="s">
        <v>134</v>
      </c>
      <c r="J907" t="s">
        <v>125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>"20:25:46.820"</f>
        <v>20:25:46.820</v>
      </c>
      <c r="T907" t="str">
        <f>"20:25:46.620"</f>
        <v>20:25:46.620</v>
      </c>
      <c r="U907" t="str">
        <f t="shared" si="107"/>
        <v>AA0632</v>
      </c>
      <c r="V907">
        <v>0</v>
      </c>
      <c r="W907">
        <v>0</v>
      </c>
      <c r="X907">
        <v>2</v>
      </c>
      <c r="Y907">
        <v>0</v>
      </c>
      <c r="AA907">
        <v>0</v>
      </c>
      <c r="AB907">
        <v>9</v>
      </c>
      <c r="AC907">
        <v>3</v>
      </c>
      <c r="AD907">
        <v>0</v>
      </c>
      <c r="AE907">
        <v>10</v>
      </c>
      <c r="AF907" t="s">
        <v>126</v>
      </c>
      <c r="AG907">
        <v>0</v>
      </c>
      <c r="AH907">
        <v>0</v>
      </c>
      <c r="AI907">
        <v>2</v>
      </c>
      <c r="AJ907">
        <v>0</v>
      </c>
      <c r="AK907" t="s">
        <v>578</v>
      </c>
      <c r="AL907">
        <v>31.923114999999999</v>
      </c>
      <c r="AM907" t="s">
        <v>583</v>
      </c>
      <c r="AN907">
        <v>-100.993516</v>
      </c>
      <c r="AQ907" t="s">
        <v>129</v>
      </c>
      <c r="AR907">
        <v>98</v>
      </c>
      <c r="AS907">
        <v>0</v>
      </c>
      <c r="AT907">
        <v>-128</v>
      </c>
      <c r="BB907" t="str">
        <f t="shared" si="108"/>
        <v>1200</v>
      </c>
      <c r="BC907">
        <v>1</v>
      </c>
      <c r="BD907" t="str">
        <f t="shared" si="105"/>
        <v xml:space="preserve">N745MB  </v>
      </c>
      <c r="BE907">
        <v>1</v>
      </c>
      <c r="BG907">
        <v>0</v>
      </c>
      <c r="BH907">
        <v>0</v>
      </c>
      <c r="BI907">
        <v>0</v>
      </c>
      <c r="BL907" t="s">
        <v>130</v>
      </c>
      <c r="BM907">
        <v>1</v>
      </c>
      <c r="BN907">
        <v>0</v>
      </c>
      <c r="BO907">
        <v>0</v>
      </c>
      <c r="BP907">
        <v>0</v>
      </c>
      <c r="BT907">
        <v>0</v>
      </c>
      <c r="BU907">
        <v>0</v>
      </c>
      <c r="CE907" t="str">
        <f>"20:25:46.827"</f>
        <v>20:25:46.827</v>
      </c>
      <c r="CF907">
        <v>827089570</v>
      </c>
      <c r="CS907">
        <v>0</v>
      </c>
      <c r="CT907">
        <v>2</v>
      </c>
      <c r="CU907">
        <v>0</v>
      </c>
      <c r="CV907">
        <v>2</v>
      </c>
      <c r="CW907">
        <v>0</v>
      </c>
      <c r="CX907">
        <v>4</v>
      </c>
      <c r="CY907">
        <v>7</v>
      </c>
      <c r="CZ907" t="s">
        <v>131</v>
      </c>
      <c r="DA907">
        <v>116</v>
      </c>
      <c r="DB907">
        <v>3</v>
      </c>
      <c r="DC907" t="s">
        <v>132</v>
      </c>
      <c r="DD907" t="s">
        <v>133</v>
      </c>
      <c r="DG907">
        <v>8406801</v>
      </c>
      <c r="DI907">
        <v>0</v>
      </c>
      <c r="DJ907">
        <v>0</v>
      </c>
      <c r="DK907">
        <v>1</v>
      </c>
      <c r="DL907">
        <v>0</v>
      </c>
      <c r="DM907">
        <v>0</v>
      </c>
      <c r="DN907">
        <v>0</v>
      </c>
      <c r="DO907">
        <v>0</v>
      </c>
      <c r="DP907">
        <v>1</v>
      </c>
      <c r="DQ907">
        <v>0</v>
      </c>
      <c r="DR907">
        <v>0</v>
      </c>
      <c r="DS907">
        <v>0</v>
      </c>
    </row>
    <row r="908" spans="1:123" x14ac:dyDescent="0.25">
      <c r="A908" t="str">
        <f>"11/29/2023 20:25:48.024"</f>
        <v>11/29/2023 20:25:48.024</v>
      </c>
      <c r="C908" t="str">
        <f t="shared" si="104"/>
        <v>FFDF53C0</v>
      </c>
      <c r="D908" t="s">
        <v>164</v>
      </c>
      <c r="E908">
        <v>24</v>
      </c>
      <c r="F908">
        <v>2024</v>
      </c>
      <c r="G908" t="s">
        <v>165</v>
      </c>
      <c r="J908" t="s">
        <v>166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"20:25:47.367"</f>
        <v>20:25:47.367</v>
      </c>
      <c r="T908" t="str">
        <f>"20:25:47.167"</f>
        <v>20:25:47.167</v>
      </c>
      <c r="U908" t="str">
        <f t="shared" si="107"/>
        <v>AA0632</v>
      </c>
      <c r="V908">
        <v>0</v>
      </c>
      <c r="W908">
        <v>0</v>
      </c>
      <c r="X908">
        <v>2</v>
      </c>
      <c r="Y908">
        <v>0</v>
      </c>
      <c r="AA908">
        <v>0</v>
      </c>
      <c r="AB908">
        <v>9</v>
      </c>
      <c r="AC908">
        <v>3</v>
      </c>
      <c r="AD908">
        <v>0</v>
      </c>
      <c r="AE908">
        <v>10</v>
      </c>
      <c r="AF908" t="s">
        <v>126</v>
      </c>
      <c r="AG908">
        <v>0</v>
      </c>
      <c r="AH908">
        <v>0</v>
      </c>
      <c r="AI908">
        <v>2</v>
      </c>
      <c r="AJ908">
        <v>0</v>
      </c>
      <c r="AK908" t="s">
        <v>580</v>
      </c>
      <c r="AL908">
        <v>31.923093999999999</v>
      </c>
      <c r="AM908" t="s">
        <v>584</v>
      </c>
      <c r="AN908">
        <v>-100.99328</v>
      </c>
      <c r="AQ908" t="s">
        <v>129</v>
      </c>
      <c r="AR908">
        <v>98</v>
      </c>
      <c r="AS908">
        <v>0</v>
      </c>
      <c r="AT908">
        <v>-192</v>
      </c>
      <c r="BB908" t="str">
        <f t="shared" si="108"/>
        <v>1200</v>
      </c>
      <c r="BC908">
        <v>1</v>
      </c>
      <c r="BD908" t="str">
        <f t="shared" si="105"/>
        <v xml:space="preserve">N745MB  </v>
      </c>
      <c r="BE908">
        <v>1</v>
      </c>
      <c r="BG908">
        <v>0</v>
      </c>
      <c r="BH908">
        <v>0</v>
      </c>
      <c r="BI908">
        <v>0</v>
      </c>
      <c r="BL908" t="s">
        <v>130</v>
      </c>
      <c r="BM908">
        <v>1</v>
      </c>
      <c r="BN908">
        <v>0</v>
      </c>
      <c r="BO908">
        <v>0</v>
      </c>
      <c r="BP908">
        <v>0</v>
      </c>
      <c r="BT908">
        <v>0</v>
      </c>
      <c r="BU908">
        <v>0</v>
      </c>
      <c r="CE908" t="str">
        <f>"20:25:47.371"</f>
        <v>20:25:47.371</v>
      </c>
      <c r="CF908">
        <v>371060725</v>
      </c>
      <c r="CS908">
        <v>0</v>
      </c>
      <c r="CT908">
        <v>2</v>
      </c>
      <c r="CU908">
        <v>0</v>
      </c>
      <c r="CV908">
        <v>2</v>
      </c>
      <c r="CW908">
        <v>0</v>
      </c>
      <c r="CX908">
        <v>3</v>
      </c>
      <c r="CY908">
        <v>7</v>
      </c>
      <c r="CZ908" t="s">
        <v>131</v>
      </c>
      <c r="DA908">
        <v>483</v>
      </c>
      <c r="DB908">
        <v>1</v>
      </c>
      <c r="DC908" t="s">
        <v>169</v>
      </c>
      <c r="DD908" t="s">
        <v>170</v>
      </c>
      <c r="DG908">
        <v>7375012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1</v>
      </c>
      <c r="DQ908">
        <v>0</v>
      </c>
      <c r="DR908">
        <v>0</v>
      </c>
      <c r="DS908">
        <v>0</v>
      </c>
    </row>
    <row r="909" spans="1:123" x14ac:dyDescent="0.25">
      <c r="A909" t="str">
        <f>"11/29/2023 20:25:48.774"</f>
        <v>11/29/2023 20:25:48.774</v>
      </c>
      <c r="C909" t="str">
        <f t="shared" si="104"/>
        <v>FFDF53C0</v>
      </c>
      <c r="D909" t="s">
        <v>135</v>
      </c>
      <c r="E909">
        <v>31</v>
      </c>
      <c r="H909">
        <v>285</v>
      </c>
      <c r="I909" t="s">
        <v>136</v>
      </c>
      <c r="J909" t="s">
        <v>137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"20:25:48.391"</f>
        <v>20:25:48.391</v>
      </c>
      <c r="T909" t="str">
        <f>"20:25:48.291"</f>
        <v>20:25:48.291</v>
      </c>
      <c r="U909" t="str">
        <f t="shared" si="107"/>
        <v>AA0632</v>
      </c>
      <c r="V909">
        <v>0</v>
      </c>
      <c r="W909">
        <v>0</v>
      </c>
      <c r="X909">
        <v>2</v>
      </c>
      <c r="Y909">
        <v>0</v>
      </c>
      <c r="AA909">
        <v>0</v>
      </c>
      <c r="AB909">
        <v>9</v>
      </c>
      <c r="AC909">
        <v>3</v>
      </c>
      <c r="AD909">
        <v>0</v>
      </c>
      <c r="AE909">
        <v>10</v>
      </c>
      <c r="AF909" t="s">
        <v>126</v>
      </c>
      <c r="AG909">
        <v>0</v>
      </c>
      <c r="AH909">
        <v>0</v>
      </c>
      <c r="AI909">
        <v>2</v>
      </c>
      <c r="AJ909">
        <v>0</v>
      </c>
      <c r="AK909" t="s">
        <v>578</v>
      </c>
      <c r="AL909">
        <v>31.923114999999999</v>
      </c>
      <c r="AM909" t="s">
        <v>585</v>
      </c>
      <c r="AN909">
        <v>-100.992701</v>
      </c>
      <c r="AQ909" t="s">
        <v>129</v>
      </c>
      <c r="AR909">
        <v>98</v>
      </c>
      <c r="AS909">
        <v>-1</v>
      </c>
      <c r="AT909">
        <v>-64</v>
      </c>
      <c r="BB909" t="str">
        <f t="shared" si="108"/>
        <v>1200</v>
      </c>
      <c r="BC909">
        <v>1</v>
      </c>
      <c r="BD909" t="str">
        <f t="shared" si="105"/>
        <v xml:space="preserve">N745MB  </v>
      </c>
      <c r="BE909">
        <v>1</v>
      </c>
      <c r="BG909">
        <v>0</v>
      </c>
      <c r="BH909">
        <v>0</v>
      </c>
      <c r="BI909">
        <v>0</v>
      </c>
      <c r="BL909" t="s">
        <v>130</v>
      </c>
      <c r="BM909">
        <v>1</v>
      </c>
      <c r="BN909">
        <v>0</v>
      </c>
      <c r="BO909">
        <v>0</v>
      </c>
      <c r="BP909">
        <v>0</v>
      </c>
      <c r="BT909">
        <v>0</v>
      </c>
      <c r="BU909">
        <v>0</v>
      </c>
      <c r="CE909" t="str">
        <f>"20:25:48.397"</f>
        <v>20:25:48.397</v>
      </c>
      <c r="CF909">
        <v>396982155</v>
      </c>
      <c r="CS909">
        <v>0</v>
      </c>
      <c r="CT909">
        <v>2</v>
      </c>
      <c r="CU909">
        <v>0</v>
      </c>
      <c r="CV909">
        <v>2</v>
      </c>
      <c r="CW909">
        <v>0</v>
      </c>
      <c r="CX909">
        <v>5</v>
      </c>
      <c r="CY909">
        <v>7</v>
      </c>
      <c r="CZ909" t="s">
        <v>131</v>
      </c>
      <c r="DA909">
        <v>116</v>
      </c>
      <c r="DB909">
        <v>0</v>
      </c>
      <c r="DC909" t="s">
        <v>132</v>
      </c>
      <c r="DD909" t="s">
        <v>133</v>
      </c>
      <c r="DG909">
        <v>14665425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1</v>
      </c>
      <c r="DQ909">
        <v>0</v>
      </c>
      <c r="DR909">
        <v>0</v>
      </c>
      <c r="DS909">
        <v>0</v>
      </c>
    </row>
    <row r="910" spans="1:123" x14ac:dyDescent="0.25">
      <c r="A910" t="str">
        <f>"11/29/2023 20:25:48.774"</f>
        <v>11/29/2023 20:25:48.774</v>
      </c>
      <c r="C910" t="str">
        <f t="shared" si="104"/>
        <v>FFDF53C0</v>
      </c>
      <c r="D910" t="s">
        <v>164</v>
      </c>
      <c r="E910">
        <v>24</v>
      </c>
      <c r="F910">
        <v>2024</v>
      </c>
      <c r="G910" t="s">
        <v>165</v>
      </c>
      <c r="J910" t="s">
        <v>166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"20:25:48.391"</f>
        <v>20:25:48.391</v>
      </c>
      <c r="T910" t="str">
        <f>"20:25:47.191"</f>
        <v>20:25:47.191</v>
      </c>
      <c r="U910" t="str">
        <f t="shared" si="107"/>
        <v>AA0632</v>
      </c>
      <c r="V910">
        <v>0</v>
      </c>
      <c r="W910">
        <v>0</v>
      </c>
      <c r="X910">
        <v>2</v>
      </c>
      <c r="Y910">
        <v>0</v>
      </c>
      <c r="AA910">
        <v>0</v>
      </c>
      <c r="AB910">
        <v>9</v>
      </c>
      <c r="AC910">
        <v>3</v>
      </c>
      <c r="AD910">
        <v>0</v>
      </c>
      <c r="AE910">
        <v>10</v>
      </c>
      <c r="AF910" t="s">
        <v>126</v>
      </c>
      <c r="AG910">
        <v>0</v>
      </c>
      <c r="AH910">
        <v>0</v>
      </c>
      <c r="AI910">
        <v>2</v>
      </c>
      <c r="AJ910">
        <v>0</v>
      </c>
      <c r="AK910" t="s">
        <v>578</v>
      </c>
      <c r="AL910">
        <v>31.923114999999999</v>
      </c>
      <c r="AM910" t="s">
        <v>585</v>
      </c>
      <c r="AN910">
        <v>-100.992701</v>
      </c>
      <c r="AQ910" t="s">
        <v>129</v>
      </c>
      <c r="AR910">
        <v>98</v>
      </c>
      <c r="AS910">
        <v>0</v>
      </c>
      <c r="AT910">
        <v>-192</v>
      </c>
      <c r="BB910" t="str">
        <f t="shared" si="108"/>
        <v>1200</v>
      </c>
      <c r="BC910">
        <v>1</v>
      </c>
      <c r="BD910" t="str">
        <f t="shared" si="105"/>
        <v xml:space="preserve">N745MB  </v>
      </c>
      <c r="BE910">
        <v>1</v>
      </c>
      <c r="BG910">
        <v>0</v>
      </c>
      <c r="BH910">
        <v>0</v>
      </c>
      <c r="BI910">
        <v>0</v>
      </c>
      <c r="BL910" t="s">
        <v>130</v>
      </c>
      <c r="BM910">
        <v>1</v>
      </c>
      <c r="BN910">
        <v>0</v>
      </c>
      <c r="BO910">
        <v>0</v>
      </c>
      <c r="BP910">
        <v>0</v>
      </c>
      <c r="BT910">
        <v>0</v>
      </c>
      <c r="BU910">
        <v>0</v>
      </c>
      <c r="CE910" t="str">
        <f>"20:25:48.397"</f>
        <v>20:25:48.397</v>
      </c>
      <c r="CF910">
        <v>396989883</v>
      </c>
      <c r="CS910">
        <v>0</v>
      </c>
      <c r="CT910">
        <v>2</v>
      </c>
      <c r="CU910">
        <v>0</v>
      </c>
      <c r="CV910">
        <v>2</v>
      </c>
      <c r="CW910">
        <v>0</v>
      </c>
      <c r="CX910">
        <v>4</v>
      </c>
      <c r="CY910">
        <v>7</v>
      </c>
      <c r="CZ910" t="s">
        <v>131</v>
      </c>
      <c r="DA910">
        <v>483</v>
      </c>
      <c r="DB910">
        <v>1</v>
      </c>
      <c r="DC910" t="s">
        <v>169</v>
      </c>
      <c r="DD910" t="s">
        <v>170</v>
      </c>
      <c r="DG910">
        <v>7375160</v>
      </c>
      <c r="DI910">
        <v>0</v>
      </c>
      <c r="DJ910">
        <v>0</v>
      </c>
      <c r="DK910">
        <v>1</v>
      </c>
      <c r="DL910">
        <v>0</v>
      </c>
      <c r="DM910">
        <v>0</v>
      </c>
      <c r="DN910">
        <v>0</v>
      </c>
      <c r="DO910">
        <v>0</v>
      </c>
      <c r="DP910">
        <v>1</v>
      </c>
      <c r="DQ910">
        <v>0</v>
      </c>
      <c r="DR910">
        <v>0</v>
      </c>
      <c r="DS910">
        <v>0</v>
      </c>
    </row>
    <row r="911" spans="1:123" x14ac:dyDescent="0.25">
      <c r="A911" t="str">
        <f>"11/29/2023 20:25:48.774"</f>
        <v>11/29/2023 20:25:48.774</v>
      </c>
      <c r="C911" t="str">
        <f t="shared" si="104"/>
        <v>FFDF53C0</v>
      </c>
      <c r="D911" t="s">
        <v>138</v>
      </c>
      <c r="E911">
        <v>3</v>
      </c>
      <c r="H911">
        <v>160</v>
      </c>
      <c r="I911" t="s">
        <v>124</v>
      </c>
      <c r="J911" t="s">
        <v>139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"20:25:48.391"</f>
        <v>20:25:48.391</v>
      </c>
      <c r="T911" t="str">
        <f>"20:25:48.291"</f>
        <v>20:25:48.291</v>
      </c>
      <c r="U911" t="str">
        <f t="shared" si="107"/>
        <v>AA0632</v>
      </c>
      <c r="V911">
        <v>0</v>
      </c>
      <c r="W911">
        <v>0</v>
      </c>
      <c r="X911">
        <v>2</v>
      </c>
      <c r="Y911">
        <v>0</v>
      </c>
      <c r="AA911">
        <v>0</v>
      </c>
      <c r="AB911">
        <v>9</v>
      </c>
      <c r="AC911">
        <v>3</v>
      </c>
      <c r="AD911">
        <v>0</v>
      </c>
      <c r="AE911">
        <v>10</v>
      </c>
      <c r="AF911" t="s">
        <v>126</v>
      </c>
      <c r="AG911">
        <v>0</v>
      </c>
      <c r="AH911">
        <v>0</v>
      </c>
      <c r="AI911">
        <v>2</v>
      </c>
      <c r="AJ911">
        <v>0</v>
      </c>
      <c r="AK911" t="s">
        <v>578</v>
      </c>
      <c r="AL911">
        <v>31.923114999999999</v>
      </c>
      <c r="AM911" t="s">
        <v>585</v>
      </c>
      <c r="AN911">
        <v>-100.992701</v>
      </c>
      <c r="AQ911" t="s">
        <v>129</v>
      </c>
      <c r="AR911">
        <v>98</v>
      </c>
      <c r="AS911">
        <v>-1</v>
      </c>
      <c r="AT911">
        <v>-64</v>
      </c>
      <c r="BB911" t="str">
        <f t="shared" si="108"/>
        <v>1200</v>
      </c>
      <c r="BC911">
        <v>1</v>
      </c>
      <c r="BD911" t="str">
        <f t="shared" si="105"/>
        <v xml:space="preserve">N745MB  </v>
      </c>
      <c r="BE911">
        <v>1</v>
      </c>
      <c r="BG911">
        <v>0</v>
      </c>
      <c r="BH911">
        <v>0</v>
      </c>
      <c r="BI911">
        <v>0</v>
      </c>
      <c r="BL911" t="s">
        <v>130</v>
      </c>
      <c r="BM911">
        <v>1</v>
      </c>
      <c r="BN911">
        <v>0</v>
      </c>
      <c r="BO911">
        <v>0</v>
      </c>
      <c r="BP911">
        <v>0</v>
      </c>
      <c r="BT911">
        <v>0</v>
      </c>
      <c r="BU911">
        <v>0</v>
      </c>
      <c r="CE911" t="str">
        <f>"20:25:48.397"</f>
        <v>20:25:48.397</v>
      </c>
      <c r="CF911">
        <v>396982155</v>
      </c>
      <c r="CS911">
        <v>0</v>
      </c>
      <c r="CT911">
        <v>2</v>
      </c>
      <c r="CU911">
        <v>0</v>
      </c>
      <c r="CV911">
        <v>2</v>
      </c>
      <c r="CW911">
        <v>0</v>
      </c>
      <c r="CX911">
        <v>5</v>
      </c>
      <c r="CY911">
        <v>7</v>
      </c>
      <c r="CZ911" t="s">
        <v>131</v>
      </c>
      <c r="DA911">
        <v>116</v>
      </c>
      <c r="DB911">
        <v>0</v>
      </c>
      <c r="DC911" t="s">
        <v>132</v>
      </c>
      <c r="DD911" t="s">
        <v>133</v>
      </c>
      <c r="DG911">
        <v>14665425</v>
      </c>
      <c r="DI911">
        <v>0</v>
      </c>
      <c r="DJ911">
        <v>0</v>
      </c>
      <c r="DK911">
        <v>1</v>
      </c>
      <c r="DL911">
        <v>0</v>
      </c>
      <c r="DM911">
        <v>0</v>
      </c>
      <c r="DN911">
        <v>0</v>
      </c>
      <c r="DO911">
        <v>0</v>
      </c>
      <c r="DP911">
        <v>1</v>
      </c>
      <c r="DQ911">
        <v>0</v>
      </c>
      <c r="DR911">
        <v>0</v>
      </c>
      <c r="DS911">
        <v>0</v>
      </c>
    </row>
    <row r="912" spans="1:123" x14ac:dyDescent="0.25">
      <c r="A912" t="str">
        <f>"11/29/2023 20:25:48.774"</f>
        <v>11/29/2023 20:25:48.774</v>
      </c>
      <c r="C912" t="str">
        <f t="shared" ref="C912:C975" si="109">"FFDF53C0"</f>
        <v>FFDF53C0</v>
      </c>
      <c r="D912" t="s">
        <v>123</v>
      </c>
      <c r="E912">
        <v>14</v>
      </c>
      <c r="F912">
        <v>1014</v>
      </c>
      <c r="G912" t="s">
        <v>124</v>
      </c>
      <c r="J912" t="s">
        <v>125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>"20:25:48.391"</f>
        <v>20:25:48.391</v>
      </c>
      <c r="T912" t="str">
        <f>"20:25:48.291"</f>
        <v>20:25:48.291</v>
      </c>
      <c r="U912" t="str">
        <f t="shared" si="107"/>
        <v>AA0632</v>
      </c>
      <c r="V912">
        <v>0</v>
      </c>
      <c r="W912">
        <v>0</v>
      </c>
      <c r="X912">
        <v>2</v>
      </c>
      <c r="Y912">
        <v>0</v>
      </c>
      <c r="AA912">
        <v>0</v>
      </c>
      <c r="AB912">
        <v>9</v>
      </c>
      <c r="AC912">
        <v>3</v>
      </c>
      <c r="AD912">
        <v>0</v>
      </c>
      <c r="AE912">
        <v>10</v>
      </c>
      <c r="AF912" t="s">
        <v>126</v>
      </c>
      <c r="AG912">
        <v>0</v>
      </c>
      <c r="AH912">
        <v>0</v>
      </c>
      <c r="AI912">
        <v>2</v>
      </c>
      <c r="AJ912">
        <v>0</v>
      </c>
      <c r="AK912" t="s">
        <v>578</v>
      </c>
      <c r="AL912">
        <v>31.923114999999999</v>
      </c>
      <c r="AM912" t="s">
        <v>585</v>
      </c>
      <c r="AN912">
        <v>-100.992701</v>
      </c>
      <c r="AQ912" t="s">
        <v>129</v>
      </c>
      <c r="AR912">
        <v>98</v>
      </c>
      <c r="AS912">
        <v>-1</v>
      </c>
      <c r="AT912">
        <v>-64</v>
      </c>
      <c r="BB912" t="str">
        <f t="shared" si="108"/>
        <v>1200</v>
      </c>
      <c r="BC912">
        <v>1</v>
      </c>
      <c r="BD912" t="str">
        <f t="shared" ref="BD912:BD975" si="110">"N745MB  "</f>
        <v xml:space="preserve">N745MB  </v>
      </c>
      <c r="BE912">
        <v>1</v>
      </c>
      <c r="BG912">
        <v>0</v>
      </c>
      <c r="BH912">
        <v>0</v>
      </c>
      <c r="BI912">
        <v>0</v>
      </c>
      <c r="BL912" t="s">
        <v>130</v>
      </c>
      <c r="BM912">
        <v>1</v>
      </c>
      <c r="BN912">
        <v>0</v>
      </c>
      <c r="BO912">
        <v>0</v>
      </c>
      <c r="BP912">
        <v>0</v>
      </c>
      <c r="BT912">
        <v>0</v>
      </c>
      <c r="BU912">
        <v>0</v>
      </c>
      <c r="CE912" t="str">
        <f>"20:25:48.397"</f>
        <v>20:25:48.397</v>
      </c>
      <c r="CF912">
        <v>396982155</v>
      </c>
      <c r="CS912">
        <v>0</v>
      </c>
      <c r="CT912">
        <v>2</v>
      </c>
      <c r="CU912">
        <v>0</v>
      </c>
      <c r="CV912">
        <v>2</v>
      </c>
      <c r="CW912">
        <v>0</v>
      </c>
      <c r="CX912">
        <v>5</v>
      </c>
      <c r="CY912">
        <v>7</v>
      </c>
      <c r="CZ912" t="s">
        <v>131</v>
      </c>
      <c r="DA912">
        <v>116</v>
      </c>
      <c r="DB912">
        <v>0</v>
      </c>
      <c r="DC912" t="s">
        <v>132</v>
      </c>
      <c r="DD912" t="s">
        <v>133</v>
      </c>
      <c r="DG912">
        <v>14665425</v>
      </c>
      <c r="DI912">
        <v>0</v>
      </c>
      <c r="DJ912">
        <v>0</v>
      </c>
      <c r="DK912">
        <v>1</v>
      </c>
      <c r="DL912">
        <v>0</v>
      </c>
      <c r="DM912">
        <v>0</v>
      </c>
      <c r="DN912">
        <v>0</v>
      </c>
      <c r="DO912">
        <v>0</v>
      </c>
      <c r="DP912">
        <v>1</v>
      </c>
      <c r="DQ912">
        <v>0</v>
      </c>
      <c r="DR912">
        <v>0</v>
      </c>
      <c r="DS912">
        <v>0</v>
      </c>
    </row>
    <row r="913" spans="1:123" x14ac:dyDescent="0.25">
      <c r="A913" t="str">
        <f>"11/29/2023 20:25:48.774"</f>
        <v>11/29/2023 20:25:48.774</v>
      </c>
      <c r="C913" t="str">
        <f t="shared" si="109"/>
        <v>FFDF53C0</v>
      </c>
      <c r="D913" t="s">
        <v>123</v>
      </c>
      <c r="E913">
        <v>1</v>
      </c>
      <c r="F913">
        <v>1001</v>
      </c>
      <c r="G913" t="s">
        <v>134</v>
      </c>
      <c r="J913" t="s">
        <v>125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>"20:25:48.391"</f>
        <v>20:25:48.391</v>
      </c>
      <c r="T913" t="str">
        <f>"20:25:48.291"</f>
        <v>20:25:48.291</v>
      </c>
      <c r="U913" t="str">
        <f t="shared" si="107"/>
        <v>AA0632</v>
      </c>
      <c r="V913">
        <v>0</v>
      </c>
      <c r="W913">
        <v>0</v>
      </c>
      <c r="X913">
        <v>2</v>
      </c>
      <c r="Y913">
        <v>0</v>
      </c>
      <c r="AA913">
        <v>0</v>
      </c>
      <c r="AB913">
        <v>9</v>
      </c>
      <c r="AC913">
        <v>3</v>
      </c>
      <c r="AD913">
        <v>0</v>
      </c>
      <c r="AE913">
        <v>10</v>
      </c>
      <c r="AF913" t="s">
        <v>126</v>
      </c>
      <c r="AG913">
        <v>0</v>
      </c>
      <c r="AH913">
        <v>0</v>
      </c>
      <c r="AI913">
        <v>2</v>
      </c>
      <c r="AJ913">
        <v>0</v>
      </c>
      <c r="AK913" t="s">
        <v>578</v>
      </c>
      <c r="AL913">
        <v>31.923114999999999</v>
      </c>
      <c r="AM913" t="s">
        <v>585</v>
      </c>
      <c r="AN913">
        <v>-100.992701</v>
      </c>
      <c r="AQ913" t="s">
        <v>129</v>
      </c>
      <c r="AR913">
        <v>98</v>
      </c>
      <c r="AS913">
        <v>-1</v>
      </c>
      <c r="AT913">
        <v>-64</v>
      </c>
      <c r="BB913" t="str">
        <f t="shared" si="108"/>
        <v>1200</v>
      </c>
      <c r="BC913">
        <v>1</v>
      </c>
      <c r="BD913" t="str">
        <f t="shared" si="110"/>
        <v xml:space="preserve">N745MB  </v>
      </c>
      <c r="BE913">
        <v>1</v>
      </c>
      <c r="BG913">
        <v>0</v>
      </c>
      <c r="BH913">
        <v>0</v>
      </c>
      <c r="BI913">
        <v>0</v>
      </c>
      <c r="BL913" t="s">
        <v>130</v>
      </c>
      <c r="BM913">
        <v>1</v>
      </c>
      <c r="BN913">
        <v>0</v>
      </c>
      <c r="BO913">
        <v>0</v>
      </c>
      <c r="BP913">
        <v>0</v>
      </c>
      <c r="BT913">
        <v>0</v>
      </c>
      <c r="BU913">
        <v>0</v>
      </c>
      <c r="CE913" t="str">
        <f>"20:25:48.397"</f>
        <v>20:25:48.397</v>
      </c>
      <c r="CF913">
        <v>396982155</v>
      </c>
      <c r="CS913">
        <v>0</v>
      </c>
      <c r="CT913">
        <v>2</v>
      </c>
      <c r="CU913">
        <v>0</v>
      </c>
      <c r="CV913">
        <v>2</v>
      </c>
      <c r="CW913">
        <v>0</v>
      </c>
      <c r="CX913">
        <v>5</v>
      </c>
      <c r="CY913">
        <v>7</v>
      </c>
      <c r="CZ913" t="s">
        <v>131</v>
      </c>
      <c r="DA913">
        <v>116</v>
      </c>
      <c r="DB913">
        <v>0</v>
      </c>
      <c r="DC913" t="s">
        <v>132</v>
      </c>
      <c r="DD913" t="s">
        <v>133</v>
      </c>
      <c r="DG913">
        <v>14665425</v>
      </c>
      <c r="DI913">
        <v>0</v>
      </c>
      <c r="DJ913">
        <v>0</v>
      </c>
      <c r="DK913">
        <v>1</v>
      </c>
      <c r="DL913">
        <v>0</v>
      </c>
      <c r="DM913">
        <v>0</v>
      </c>
      <c r="DN913">
        <v>0</v>
      </c>
      <c r="DO913">
        <v>0</v>
      </c>
      <c r="DP913">
        <v>1</v>
      </c>
      <c r="DQ913">
        <v>0</v>
      </c>
      <c r="DR913">
        <v>0</v>
      </c>
      <c r="DS913">
        <v>0</v>
      </c>
    </row>
    <row r="914" spans="1:123" x14ac:dyDescent="0.25">
      <c r="A914" t="str">
        <f>"11/29/2023 20:25:50.133"</f>
        <v>11/29/2023 20:25:50.133</v>
      </c>
      <c r="C914" t="str">
        <f t="shared" si="109"/>
        <v>FFDF53C0</v>
      </c>
      <c r="D914" t="s">
        <v>135</v>
      </c>
      <c r="E914">
        <v>31</v>
      </c>
      <c r="H914">
        <v>285</v>
      </c>
      <c r="I914" t="s">
        <v>136</v>
      </c>
      <c r="J914" t="s">
        <v>137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>"20:25:49.648"</f>
        <v>20:25:49.648</v>
      </c>
      <c r="T914" t="str">
        <f>"20:25:49.448"</f>
        <v>20:25:49.448</v>
      </c>
      <c r="U914" t="str">
        <f t="shared" si="107"/>
        <v>AA0632</v>
      </c>
      <c r="V914">
        <v>0</v>
      </c>
      <c r="W914">
        <v>0</v>
      </c>
      <c r="X914">
        <v>2</v>
      </c>
      <c r="Y914">
        <v>0</v>
      </c>
      <c r="AA914">
        <v>0</v>
      </c>
      <c r="AB914">
        <v>9</v>
      </c>
      <c r="AC914">
        <v>3</v>
      </c>
      <c r="AD914">
        <v>0</v>
      </c>
      <c r="AE914">
        <v>10</v>
      </c>
      <c r="AF914" t="s">
        <v>126</v>
      </c>
      <c r="AG914">
        <v>0</v>
      </c>
      <c r="AH914">
        <v>0</v>
      </c>
      <c r="AI914">
        <v>2</v>
      </c>
      <c r="AJ914">
        <v>0</v>
      </c>
      <c r="AK914" t="s">
        <v>578</v>
      </c>
      <c r="AL914">
        <v>31.923114999999999</v>
      </c>
      <c r="AM914" t="s">
        <v>586</v>
      </c>
      <c r="AN914">
        <v>-100.992036</v>
      </c>
      <c r="AQ914" t="s">
        <v>129</v>
      </c>
      <c r="AR914">
        <v>97</v>
      </c>
      <c r="AS914">
        <v>-2</v>
      </c>
      <c r="AT914">
        <v>-64</v>
      </c>
      <c r="BB914" t="str">
        <f t="shared" si="108"/>
        <v>1200</v>
      </c>
      <c r="BC914">
        <v>1</v>
      </c>
      <c r="BD914" t="str">
        <f t="shared" si="110"/>
        <v xml:space="preserve">N745MB  </v>
      </c>
      <c r="BE914">
        <v>1</v>
      </c>
      <c r="BG914">
        <v>0</v>
      </c>
      <c r="BH914">
        <v>0</v>
      </c>
      <c r="BI914">
        <v>0</v>
      </c>
      <c r="BL914" t="s">
        <v>130</v>
      </c>
      <c r="BM914">
        <v>1</v>
      </c>
      <c r="BN914">
        <v>0</v>
      </c>
      <c r="BO914">
        <v>0</v>
      </c>
      <c r="BP914">
        <v>0</v>
      </c>
      <c r="BT914">
        <v>0</v>
      </c>
      <c r="BU914">
        <v>0</v>
      </c>
      <c r="CE914" t="str">
        <f>"20:25:49.651"</f>
        <v>20:25:49.651</v>
      </c>
      <c r="CF914">
        <v>650900525</v>
      </c>
      <c r="CS914">
        <v>0</v>
      </c>
      <c r="CT914">
        <v>2</v>
      </c>
      <c r="CU914">
        <v>0</v>
      </c>
      <c r="CV914">
        <v>2</v>
      </c>
      <c r="CW914">
        <v>0</v>
      </c>
      <c r="CX914">
        <v>5</v>
      </c>
      <c r="CY914">
        <v>7</v>
      </c>
      <c r="CZ914" t="s">
        <v>131</v>
      </c>
      <c r="DA914">
        <v>116</v>
      </c>
      <c r="DB914">
        <v>3</v>
      </c>
      <c r="DC914" t="s">
        <v>132</v>
      </c>
      <c r="DD914" t="s">
        <v>133</v>
      </c>
      <c r="DG914">
        <v>8408431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1</v>
      </c>
      <c r="DQ914">
        <v>0</v>
      </c>
      <c r="DR914">
        <v>0</v>
      </c>
      <c r="DS914">
        <v>0</v>
      </c>
    </row>
    <row r="915" spans="1:123" x14ac:dyDescent="0.25">
      <c r="A915" t="str">
        <f>"11/29/2023 20:25:50.133"</f>
        <v>11/29/2023 20:25:50.133</v>
      </c>
      <c r="C915" t="str">
        <f t="shared" si="109"/>
        <v>FFDF53C0</v>
      </c>
      <c r="D915" t="s">
        <v>164</v>
      </c>
      <c r="E915">
        <v>24</v>
      </c>
      <c r="F915">
        <v>2024</v>
      </c>
      <c r="G915" t="s">
        <v>165</v>
      </c>
      <c r="J915" t="s">
        <v>166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>"20:25:49.648"</f>
        <v>20:25:49.648</v>
      </c>
      <c r="T915" t="str">
        <f>"20:25:49.448"</f>
        <v>20:25:49.448</v>
      </c>
      <c r="U915" t="str">
        <f t="shared" si="107"/>
        <v>AA0632</v>
      </c>
      <c r="V915">
        <v>0</v>
      </c>
      <c r="W915">
        <v>0</v>
      </c>
      <c r="X915">
        <v>2</v>
      </c>
      <c r="Y915">
        <v>0</v>
      </c>
      <c r="AA915">
        <v>0</v>
      </c>
      <c r="AB915">
        <v>9</v>
      </c>
      <c r="AC915">
        <v>3</v>
      </c>
      <c r="AD915">
        <v>0</v>
      </c>
      <c r="AE915">
        <v>10</v>
      </c>
      <c r="AF915" t="s">
        <v>126</v>
      </c>
      <c r="AG915">
        <v>0</v>
      </c>
      <c r="AH915">
        <v>0</v>
      </c>
      <c r="AI915">
        <v>2</v>
      </c>
      <c r="AJ915">
        <v>0</v>
      </c>
      <c r="AK915" t="s">
        <v>578</v>
      </c>
      <c r="AL915">
        <v>31.923114999999999</v>
      </c>
      <c r="AM915" t="s">
        <v>586</v>
      </c>
      <c r="AN915">
        <v>-100.992036</v>
      </c>
      <c r="AQ915" t="s">
        <v>129</v>
      </c>
      <c r="AR915">
        <v>97</v>
      </c>
      <c r="AS915">
        <v>-2</v>
      </c>
      <c r="AT915">
        <v>-64</v>
      </c>
      <c r="BB915" t="str">
        <f t="shared" si="108"/>
        <v>1200</v>
      </c>
      <c r="BC915">
        <v>1</v>
      </c>
      <c r="BD915" t="str">
        <f t="shared" si="110"/>
        <v xml:space="preserve">N745MB  </v>
      </c>
      <c r="BE915">
        <v>1</v>
      </c>
      <c r="BG915">
        <v>0</v>
      </c>
      <c r="BH915">
        <v>0</v>
      </c>
      <c r="BI915">
        <v>0</v>
      </c>
      <c r="BL915" t="s">
        <v>130</v>
      </c>
      <c r="BM915">
        <v>1</v>
      </c>
      <c r="BN915">
        <v>0</v>
      </c>
      <c r="BO915">
        <v>0</v>
      </c>
      <c r="BP915">
        <v>0</v>
      </c>
      <c r="BT915">
        <v>0</v>
      </c>
      <c r="BU915">
        <v>0</v>
      </c>
      <c r="CE915" t="str">
        <f>"20:25:49.651"</f>
        <v>20:25:49.651</v>
      </c>
      <c r="CF915">
        <v>650908149</v>
      </c>
      <c r="CS915">
        <v>0</v>
      </c>
      <c r="CT915">
        <v>2</v>
      </c>
      <c r="CU915">
        <v>0</v>
      </c>
      <c r="CV915">
        <v>2</v>
      </c>
      <c r="CW915">
        <v>0</v>
      </c>
      <c r="CX915">
        <v>4</v>
      </c>
      <c r="CY915">
        <v>7</v>
      </c>
      <c r="CZ915" t="s">
        <v>131</v>
      </c>
      <c r="DA915">
        <v>483</v>
      </c>
      <c r="DB915">
        <v>0</v>
      </c>
      <c r="DC915" t="s">
        <v>169</v>
      </c>
      <c r="DD915" t="s">
        <v>170</v>
      </c>
      <c r="DG915">
        <v>7375348</v>
      </c>
      <c r="DI915">
        <v>0</v>
      </c>
      <c r="DJ915">
        <v>0</v>
      </c>
      <c r="DK915">
        <v>1</v>
      </c>
      <c r="DL915">
        <v>0</v>
      </c>
      <c r="DM915">
        <v>0</v>
      </c>
      <c r="DN915">
        <v>0</v>
      </c>
      <c r="DO915">
        <v>0</v>
      </c>
      <c r="DP915">
        <v>1</v>
      </c>
      <c r="DQ915">
        <v>0</v>
      </c>
      <c r="DR915">
        <v>0</v>
      </c>
      <c r="DS915">
        <v>0</v>
      </c>
    </row>
    <row r="916" spans="1:123" x14ac:dyDescent="0.25">
      <c r="A916" t="str">
        <f>"11/29/2023 20:25:50.133"</f>
        <v>11/29/2023 20:25:50.133</v>
      </c>
      <c r="C916" t="str">
        <f t="shared" si="109"/>
        <v>FFDF53C0</v>
      </c>
      <c r="D916" t="s">
        <v>138</v>
      </c>
      <c r="E916">
        <v>3</v>
      </c>
      <c r="H916">
        <v>160</v>
      </c>
      <c r="I916" t="s">
        <v>124</v>
      </c>
      <c r="J916" t="s">
        <v>139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>"20:25:49.648"</f>
        <v>20:25:49.648</v>
      </c>
      <c r="T916" t="str">
        <f>"20:25:49.448"</f>
        <v>20:25:49.448</v>
      </c>
      <c r="U916" t="str">
        <f t="shared" si="107"/>
        <v>AA0632</v>
      </c>
      <c r="V916">
        <v>0</v>
      </c>
      <c r="W916">
        <v>0</v>
      </c>
      <c r="X916">
        <v>2</v>
      </c>
      <c r="Y916">
        <v>0</v>
      </c>
      <c r="AA916">
        <v>0</v>
      </c>
      <c r="AB916">
        <v>9</v>
      </c>
      <c r="AC916">
        <v>3</v>
      </c>
      <c r="AD916">
        <v>0</v>
      </c>
      <c r="AE916">
        <v>10</v>
      </c>
      <c r="AF916" t="s">
        <v>126</v>
      </c>
      <c r="AG916">
        <v>0</v>
      </c>
      <c r="AH916">
        <v>0</v>
      </c>
      <c r="AI916">
        <v>2</v>
      </c>
      <c r="AJ916">
        <v>0</v>
      </c>
      <c r="AK916" t="s">
        <v>578</v>
      </c>
      <c r="AL916">
        <v>31.923114999999999</v>
      </c>
      <c r="AM916" t="s">
        <v>586</v>
      </c>
      <c r="AN916">
        <v>-100.992036</v>
      </c>
      <c r="AQ916" t="s">
        <v>129</v>
      </c>
      <c r="AR916">
        <v>97</v>
      </c>
      <c r="AS916">
        <v>-2</v>
      </c>
      <c r="AT916">
        <v>-64</v>
      </c>
      <c r="BB916" t="str">
        <f t="shared" si="108"/>
        <v>1200</v>
      </c>
      <c r="BC916">
        <v>1</v>
      </c>
      <c r="BD916" t="str">
        <f t="shared" si="110"/>
        <v xml:space="preserve">N745MB  </v>
      </c>
      <c r="BE916">
        <v>1</v>
      </c>
      <c r="BG916">
        <v>0</v>
      </c>
      <c r="BH916">
        <v>0</v>
      </c>
      <c r="BI916">
        <v>0</v>
      </c>
      <c r="BL916" t="s">
        <v>130</v>
      </c>
      <c r="BM916">
        <v>1</v>
      </c>
      <c r="BN916">
        <v>0</v>
      </c>
      <c r="BO916">
        <v>0</v>
      </c>
      <c r="BP916">
        <v>0</v>
      </c>
      <c r="BT916">
        <v>0</v>
      </c>
      <c r="BU916">
        <v>0</v>
      </c>
      <c r="CE916" t="str">
        <f>"20:25:49.651"</f>
        <v>20:25:49.651</v>
      </c>
      <c r="CF916">
        <v>650900525</v>
      </c>
      <c r="CS916">
        <v>0</v>
      </c>
      <c r="CT916">
        <v>2</v>
      </c>
      <c r="CU916">
        <v>0</v>
      </c>
      <c r="CV916">
        <v>2</v>
      </c>
      <c r="CW916">
        <v>0</v>
      </c>
      <c r="CX916">
        <v>5</v>
      </c>
      <c r="CY916">
        <v>7</v>
      </c>
      <c r="CZ916" t="s">
        <v>131</v>
      </c>
      <c r="DA916">
        <v>116</v>
      </c>
      <c r="DB916">
        <v>3</v>
      </c>
      <c r="DC916" t="s">
        <v>132</v>
      </c>
      <c r="DD916" t="s">
        <v>133</v>
      </c>
      <c r="DG916">
        <v>8408431</v>
      </c>
      <c r="DI916">
        <v>0</v>
      </c>
      <c r="DJ916">
        <v>0</v>
      </c>
      <c r="DK916">
        <v>1</v>
      </c>
      <c r="DL916">
        <v>0</v>
      </c>
      <c r="DM916">
        <v>0</v>
      </c>
      <c r="DN916">
        <v>0</v>
      </c>
      <c r="DO916">
        <v>0</v>
      </c>
      <c r="DP916">
        <v>1</v>
      </c>
      <c r="DQ916">
        <v>0</v>
      </c>
      <c r="DR916">
        <v>0</v>
      </c>
      <c r="DS916">
        <v>0</v>
      </c>
    </row>
    <row r="917" spans="1:123" x14ac:dyDescent="0.25">
      <c r="A917" t="str">
        <f>"11/29/2023 20:25:50.133"</f>
        <v>11/29/2023 20:25:50.133</v>
      </c>
      <c r="C917" t="str">
        <f t="shared" si="109"/>
        <v>FFDF53C0</v>
      </c>
      <c r="D917" t="s">
        <v>123</v>
      </c>
      <c r="E917">
        <v>1</v>
      </c>
      <c r="F917">
        <v>1001</v>
      </c>
      <c r="G917" t="s">
        <v>134</v>
      </c>
      <c r="J917" t="s">
        <v>125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>"20:25:49.648"</f>
        <v>20:25:49.648</v>
      </c>
      <c r="T917" t="str">
        <f>"20:25:49.448"</f>
        <v>20:25:49.448</v>
      </c>
      <c r="U917" t="str">
        <f t="shared" si="107"/>
        <v>AA0632</v>
      </c>
      <c r="V917">
        <v>0</v>
      </c>
      <c r="W917">
        <v>0</v>
      </c>
      <c r="X917">
        <v>2</v>
      </c>
      <c r="Y917">
        <v>0</v>
      </c>
      <c r="AA917">
        <v>0</v>
      </c>
      <c r="AB917">
        <v>9</v>
      </c>
      <c r="AC917">
        <v>3</v>
      </c>
      <c r="AD917">
        <v>0</v>
      </c>
      <c r="AE917">
        <v>10</v>
      </c>
      <c r="AF917" t="s">
        <v>126</v>
      </c>
      <c r="AG917">
        <v>0</v>
      </c>
      <c r="AH917">
        <v>0</v>
      </c>
      <c r="AI917">
        <v>2</v>
      </c>
      <c r="AJ917">
        <v>0</v>
      </c>
      <c r="AK917" t="s">
        <v>578</v>
      </c>
      <c r="AL917">
        <v>31.923114999999999</v>
      </c>
      <c r="AM917" t="s">
        <v>586</v>
      </c>
      <c r="AN917">
        <v>-100.992036</v>
      </c>
      <c r="AQ917" t="s">
        <v>129</v>
      </c>
      <c r="AR917">
        <v>97</v>
      </c>
      <c r="AS917">
        <v>-2</v>
      </c>
      <c r="AT917">
        <v>-64</v>
      </c>
      <c r="BB917" t="str">
        <f t="shared" si="108"/>
        <v>1200</v>
      </c>
      <c r="BC917">
        <v>1</v>
      </c>
      <c r="BD917" t="str">
        <f t="shared" si="110"/>
        <v xml:space="preserve">N745MB  </v>
      </c>
      <c r="BE917">
        <v>1</v>
      </c>
      <c r="BG917">
        <v>0</v>
      </c>
      <c r="BH917">
        <v>0</v>
      </c>
      <c r="BI917">
        <v>0</v>
      </c>
      <c r="BL917" t="s">
        <v>130</v>
      </c>
      <c r="BM917">
        <v>1</v>
      </c>
      <c r="BN917">
        <v>0</v>
      </c>
      <c r="BO917">
        <v>0</v>
      </c>
      <c r="BP917">
        <v>0</v>
      </c>
      <c r="BT917">
        <v>0</v>
      </c>
      <c r="BU917">
        <v>0</v>
      </c>
      <c r="CE917" t="str">
        <f>"20:25:49.651"</f>
        <v>20:25:49.651</v>
      </c>
      <c r="CF917">
        <v>650900525</v>
      </c>
      <c r="CS917">
        <v>0</v>
      </c>
      <c r="CT917">
        <v>2</v>
      </c>
      <c r="CU917">
        <v>0</v>
      </c>
      <c r="CV917">
        <v>2</v>
      </c>
      <c r="CW917">
        <v>0</v>
      </c>
      <c r="CX917">
        <v>5</v>
      </c>
      <c r="CY917">
        <v>7</v>
      </c>
      <c r="CZ917" t="s">
        <v>131</v>
      </c>
      <c r="DA917">
        <v>116</v>
      </c>
      <c r="DB917">
        <v>3</v>
      </c>
      <c r="DC917" t="s">
        <v>132</v>
      </c>
      <c r="DD917" t="s">
        <v>133</v>
      </c>
      <c r="DG917">
        <v>8408431</v>
      </c>
      <c r="DI917">
        <v>0</v>
      </c>
      <c r="DJ917">
        <v>0</v>
      </c>
      <c r="DK917">
        <v>1</v>
      </c>
      <c r="DL917">
        <v>0</v>
      </c>
      <c r="DM917">
        <v>0</v>
      </c>
      <c r="DN917">
        <v>0</v>
      </c>
      <c r="DO917">
        <v>0</v>
      </c>
      <c r="DP917">
        <v>1</v>
      </c>
      <c r="DQ917">
        <v>0</v>
      </c>
      <c r="DR917">
        <v>0</v>
      </c>
      <c r="DS917">
        <v>0</v>
      </c>
    </row>
    <row r="918" spans="1:123" x14ac:dyDescent="0.25">
      <c r="A918" t="str">
        <f>"11/29/2023 20:25:50.133"</f>
        <v>11/29/2023 20:25:50.133</v>
      </c>
      <c r="C918" t="str">
        <f t="shared" si="109"/>
        <v>FFDF53C0</v>
      </c>
      <c r="D918" t="s">
        <v>123</v>
      </c>
      <c r="E918">
        <v>14</v>
      </c>
      <c r="F918">
        <v>1014</v>
      </c>
      <c r="G918" t="s">
        <v>124</v>
      </c>
      <c r="J918" t="s">
        <v>125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>"20:25:49.648"</f>
        <v>20:25:49.648</v>
      </c>
      <c r="T918" t="str">
        <f>"20:25:49.448"</f>
        <v>20:25:49.448</v>
      </c>
      <c r="U918" t="str">
        <f t="shared" si="107"/>
        <v>AA0632</v>
      </c>
      <c r="V918">
        <v>0</v>
      </c>
      <c r="W918">
        <v>0</v>
      </c>
      <c r="X918">
        <v>2</v>
      </c>
      <c r="Y918">
        <v>0</v>
      </c>
      <c r="AA918">
        <v>0</v>
      </c>
      <c r="AB918">
        <v>9</v>
      </c>
      <c r="AC918">
        <v>3</v>
      </c>
      <c r="AD918">
        <v>0</v>
      </c>
      <c r="AE918">
        <v>10</v>
      </c>
      <c r="AF918" t="s">
        <v>126</v>
      </c>
      <c r="AG918">
        <v>0</v>
      </c>
      <c r="AH918">
        <v>0</v>
      </c>
      <c r="AI918">
        <v>2</v>
      </c>
      <c r="AJ918">
        <v>0</v>
      </c>
      <c r="AK918" t="s">
        <v>578</v>
      </c>
      <c r="AL918">
        <v>31.923114999999999</v>
      </c>
      <c r="AM918" t="s">
        <v>586</v>
      </c>
      <c r="AN918">
        <v>-100.992036</v>
      </c>
      <c r="AQ918" t="s">
        <v>129</v>
      </c>
      <c r="AR918">
        <v>97</v>
      </c>
      <c r="AS918">
        <v>-2</v>
      </c>
      <c r="AT918">
        <v>-64</v>
      </c>
      <c r="BB918" t="str">
        <f t="shared" si="108"/>
        <v>1200</v>
      </c>
      <c r="BC918">
        <v>1</v>
      </c>
      <c r="BD918" t="str">
        <f t="shared" si="110"/>
        <v xml:space="preserve">N745MB  </v>
      </c>
      <c r="BE918">
        <v>1</v>
      </c>
      <c r="BG918">
        <v>0</v>
      </c>
      <c r="BH918">
        <v>0</v>
      </c>
      <c r="BI918">
        <v>0</v>
      </c>
      <c r="BL918" t="s">
        <v>130</v>
      </c>
      <c r="BM918">
        <v>1</v>
      </c>
      <c r="BN918">
        <v>0</v>
      </c>
      <c r="BO918">
        <v>0</v>
      </c>
      <c r="BP918">
        <v>0</v>
      </c>
      <c r="BT918">
        <v>0</v>
      </c>
      <c r="BU918">
        <v>0</v>
      </c>
      <c r="CE918" t="str">
        <f>"20:25:49.651"</f>
        <v>20:25:49.651</v>
      </c>
      <c r="CF918">
        <v>650900525</v>
      </c>
      <c r="CS918">
        <v>0</v>
      </c>
      <c r="CT918">
        <v>2</v>
      </c>
      <c r="CU918">
        <v>0</v>
      </c>
      <c r="CV918">
        <v>2</v>
      </c>
      <c r="CW918">
        <v>0</v>
      </c>
      <c r="CX918">
        <v>5</v>
      </c>
      <c r="CY918">
        <v>7</v>
      </c>
      <c r="CZ918" t="s">
        <v>131</v>
      </c>
      <c r="DA918">
        <v>116</v>
      </c>
      <c r="DB918">
        <v>3</v>
      </c>
      <c r="DC918" t="s">
        <v>132</v>
      </c>
      <c r="DD918" t="s">
        <v>133</v>
      </c>
      <c r="DG918">
        <v>8408431</v>
      </c>
      <c r="DI918">
        <v>0</v>
      </c>
      <c r="DJ918">
        <v>0</v>
      </c>
      <c r="DK918">
        <v>1</v>
      </c>
      <c r="DL918">
        <v>0</v>
      </c>
      <c r="DM918">
        <v>0</v>
      </c>
      <c r="DN918">
        <v>0</v>
      </c>
      <c r="DO918">
        <v>0</v>
      </c>
      <c r="DP918">
        <v>1</v>
      </c>
      <c r="DQ918">
        <v>0</v>
      </c>
      <c r="DR918">
        <v>0</v>
      </c>
      <c r="DS918">
        <v>0</v>
      </c>
    </row>
    <row r="919" spans="1:123" x14ac:dyDescent="0.25">
      <c r="A919" t="str">
        <f>"11/29/2023 20:25:51.696"</f>
        <v>11/29/2023 20:25:51.696</v>
      </c>
      <c r="C919" t="str">
        <f t="shared" si="109"/>
        <v>FFDF53C0</v>
      </c>
      <c r="D919" t="s">
        <v>138</v>
      </c>
      <c r="E919">
        <v>3</v>
      </c>
      <c r="H919">
        <v>160</v>
      </c>
      <c r="I919" t="s">
        <v>124</v>
      </c>
      <c r="J919" t="s">
        <v>139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>"20:25:51.039"</f>
        <v>20:25:51.039</v>
      </c>
      <c r="T919" t="str">
        <f>"20:25:50.939"</f>
        <v>20:25:50.939</v>
      </c>
      <c r="U919" t="str">
        <f t="shared" si="107"/>
        <v>AA0632</v>
      </c>
      <c r="V919">
        <v>0</v>
      </c>
      <c r="W919">
        <v>0</v>
      </c>
      <c r="X919">
        <v>2</v>
      </c>
      <c r="Y919">
        <v>0</v>
      </c>
      <c r="AA919">
        <v>0</v>
      </c>
      <c r="AB919">
        <v>9</v>
      </c>
      <c r="AC919">
        <v>3</v>
      </c>
      <c r="AD919">
        <v>0</v>
      </c>
      <c r="AE919">
        <v>10</v>
      </c>
      <c r="AF919" t="s">
        <v>126</v>
      </c>
      <c r="AG919">
        <v>0</v>
      </c>
      <c r="AH919">
        <v>0</v>
      </c>
      <c r="AI919">
        <v>2</v>
      </c>
      <c r="AJ919">
        <v>0</v>
      </c>
      <c r="AK919" t="s">
        <v>578</v>
      </c>
      <c r="AL919">
        <v>31.923114999999999</v>
      </c>
      <c r="AM919" t="s">
        <v>587</v>
      </c>
      <c r="AN919">
        <v>-100.991328</v>
      </c>
      <c r="AQ919" t="s">
        <v>129</v>
      </c>
      <c r="AR919">
        <v>97</v>
      </c>
      <c r="AS919">
        <v>-2</v>
      </c>
      <c r="AT919">
        <v>-192</v>
      </c>
      <c r="BB919" t="str">
        <f t="shared" si="108"/>
        <v>1200</v>
      </c>
      <c r="BC919">
        <v>1</v>
      </c>
      <c r="BD919" t="str">
        <f t="shared" si="110"/>
        <v xml:space="preserve">N745MB  </v>
      </c>
      <c r="BE919">
        <v>1</v>
      </c>
      <c r="BG919">
        <v>0</v>
      </c>
      <c r="BH919">
        <v>0</v>
      </c>
      <c r="BI919">
        <v>0</v>
      </c>
      <c r="BL919" t="s">
        <v>130</v>
      </c>
      <c r="BM919">
        <v>1</v>
      </c>
      <c r="BN919">
        <v>0</v>
      </c>
      <c r="BO919">
        <v>0</v>
      </c>
      <c r="BP919">
        <v>0</v>
      </c>
      <c r="BT919">
        <v>0</v>
      </c>
      <c r="BU919">
        <v>0</v>
      </c>
      <c r="CE919" t="str">
        <f>"20:25:51.041"</f>
        <v>20:25:51.041</v>
      </c>
      <c r="CF919">
        <v>40807297</v>
      </c>
      <c r="CS919">
        <v>0</v>
      </c>
      <c r="CT919">
        <v>2</v>
      </c>
      <c r="CU919">
        <v>0</v>
      </c>
      <c r="CV919">
        <v>2</v>
      </c>
      <c r="CW919">
        <v>0</v>
      </c>
      <c r="CX919">
        <v>5</v>
      </c>
      <c r="CY919">
        <v>7</v>
      </c>
      <c r="CZ919" t="s">
        <v>131</v>
      </c>
      <c r="DA919">
        <v>116</v>
      </c>
      <c r="DB919">
        <v>3</v>
      </c>
      <c r="DC919" t="s">
        <v>132</v>
      </c>
      <c r="DD919" t="s">
        <v>133</v>
      </c>
      <c r="DG919">
        <v>8409224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1</v>
      </c>
      <c r="DQ919">
        <v>0</v>
      </c>
      <c r="DR919">
        <v>0</v>
      </c>
      <c r="DS919">
        <v>0</v>
      </c>
    </row>
    <row r="920" spans="1:123" x14ac:dyDescent="0.25">
      <c r="A920" t="str">
        <f>"11/29/2023 20:25:51.696"</f>
        <v>11/29/2023 20:25:51.696</v>
      </c>
      <c r="C920" t="str">
        <f t="shared" si="109"/>
        <v>FFDF53C0</v>
      </c>
      <c r="D920" t="s">
        <v>123</v>
      </c>
      <c r="E920">
        <v>14</v>
      </c>
      <c r="F920">
        <v>1014</v>
      </c>
      <c r="G920" t="s">
        <v>124</v>
      </c>
      <c r="J920" t="s">
        <v>125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>"20:25:51.039"</f>
        <v>20:25:51.039</v>
      </c>
      <c r="T920" t="str">
        <f>"20:25:50.939"</f>
        <v>20:25:50.939</v>
      </c>
      <c r="U920" t="str">
        <f t="shared" si="107"/>
        <v>AA0632</v>
      </c>
      <c r="V920">
        <v>0</v>
      </c>
      <c r="W920">
        <v>0</v>
      </c>
      <c r="X920">
        <v>2</v>
      </c>
      <c r="Y920">
        <v>0</v>
      </c>
      <c r="AA920">
        <v>0</v>
      </c>
      <c r="AB920">
        <v>9</v>
      </c>
      <c r="AC920">
        <v>3</v>
      </c>
      <c r="AD920">
        <v>0</v>
      </c>
      <c r="AE920">
        <v>10</v>
      </c>
      <c r="AF920" t="s">
        <v>126</v>
      </c>
      <c r="AG920">
        <v>0</v>
      </c>
      <c r="AH920">
        <v>0</v>
      </c>
      <c r="AI920">
        <v>2</v>
      </c>
      <c r="AJ920">
        <v>0</v>
      </c>
      <c r="AK920" t="s">
        <v>578</v>
      </c>
      <c r="AL920">
        <v>31.923114999999999</v>
      </c>
      <c r="AM920" t="s">
        <v>587</v>
      </c>
      <c r="AN920">
        <v>-100.991328</v>
      </c>
      <c r="AQ920" t="s">
        <v>129</v>
      </c>
      <c r="AR920">
        <v>97</v>
      </c>
      <c r="AS920">
        <v>-2</v>
      </c>
      <c r="AT920">
        <v>-192</v>
      </c>
      <c r="BB920" t="str">
        <f t="shared" si="108"/>
        <v>1200</v>
      </c>
      <c r="BC920">
        <v>1</v>
      </c>
      <c r="BD920" t="str">
        <f t="shared" si="110"/>
        <v xml:space="preserve">N745MB  </v>
      </c>
      <c r="BE920">
        <v>1</v>
      </c>
      <c r="BG920">
        <v>0</v>
      </c>
      <c r="BH920">
        <v>0</v>
      </c>
      <c r="BI920">
        <v>0</v>
      </c>
      <c r="BL920" t="s">
        <v>130</v>
      </c>
      <c r="BM920">
        <v>1</v>
      </c>
      <c r="BN920">
        <v>0</v>
      </c>
      <c r="BO920">
        <v>0</v>
      </c>
      <c r="BP920">
        <v>0</v>
      </c>
      <c r="BT920">
        <v>0</v>
      </c>
      <c r="BU920">
        <v>0</v>
      </c>
      <c r="CE920" t="str">
        <f>"20:25:51.041"</f>
        <v>20:25:51.041</v>
      </c>
      <c r="CF920">
        <v>40807297</v>
      </c>
      <c r="CS920">
        <v>0</v>
      </c>
      <c r="CT920">
        <v>2</v>
      </c>
      <c r="CU920">
        <v>0</v>
      </c>
      <c r="CV920">
        <v>2</v>
      </c>
      <c r="CW920">
        <v>0</v>
      </c>
      <c r="CX920">
        <v>5</v>
      </c>
      <c r="CY920">
        <v>7</v>
      </c>
      <c r="CZ920" t="s">
        <v>131</v>
      </c>
      <c r="DA920">
        <v>116</v>
      </c>
      <c r="DB920">
        <v>3</v>
      </c>
      <c r="DC920" t="s">
        <v>132</v>
      </c>
      <c r="DD920" t="s">
        <v>133</v>
      </c>
      <c r="DG920">
        <v>8409224</v>
      </c>
      <c r="DI920">
        <v>0</v>
      </c>
      <c r="DJ920">
        <v>0</v>
      </c>
      <c r="DK920">
        <v>1</v>
      </c>
      <c r="DL920">
        <v>0</v>
      </c>
      <c r="DM920">
        <v>0</v>
      </c>
      <c r="DN920">
        <v>0</v>
      </c>
      <c r="DO920">
        <v>0</v>
      </c>
      <c r="DP920">
        <v>1</v>
      </c>
      <c r="DQ920">
        <v>0</v>
      </c>
      <c r="DR920">
        <v>0</v>
      </c>
      <c r="DS920">
        <v>0</v>
      </c>
    </row>
    <row r="921" spans="1:123" x14ac:dyDescent="0.25">
      <c r="A921" t="str">
        <f>"11/29/2023 20:25:51.696"</f>
        <v>11/29/2023 20:25:51.696</v>
      </c>
      <c r="C921" t="str">
        <f t="shared" si="109"/>
        <v>FFDF53C0</v>
      </c>
      <c r="D921" t="s">
        <v>123</v>
      </c>
      <c r="E921">
        <v>1</v>
      </c>
      <c r="F921">
        <v>1001</v>
      </c>
      <c r="G921" t="s">
        <v>134</v>
      </c>
      <c r="J921" t="s">
        <v>125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>"20:25:51.039"</f>
        <v>20:25:51.039</v>
      </c>
      <c r="T921" t="str">
        <f>"20:25:50.939"</f>
        <v>20:25:50.939</v>
      </c>
      <c r="U921" t="str">
        <f t="shared" si="107"/>
        <v>AA0632</v>
      </c>
      <c r="V921">
        <v>0</v>
      </c>
      <c r="W921">
        <v>0</v>
      </c>
      <c r="X921">
        <v>2</v>
      </c>
      <c r="Y921">
        <v>0</v>
      </c>
      <c r="AA921">
        <v>0</v>
      </c>
      <c r="AB921">
        <v>9</v>
      </c>
      <c r="AC921">
        <v>3</v>
      </c>
      <c r="AD921">
        <v>0</v>
      </c>
      <c r="AE921">
        <v>10</v>
      </c>
      <c r="AF921" t="s">
        <v>126</v>
      </c>
      <c r="AG921">
        <v>0</v>
      </c>
      <c r="AH921">
        <v>0</v>
      </c>
      <c r="AI921">
        <v>2</v>
      </c>
      <c r="AJ921">
        <v>0</v>
      </c>
      <c r="AK921" t="s">
        <v>578</v>
      </c>
      <c r="AL921">
        <v>31.923114999999999</v>
      </c>
      <c r="AM921" t="s">
        <v>587</v>
      </c>
      <c r="AN921">
        <v>-100.991328</v>
      </c>
      <c r="AQ921" t="s">
        <v>129</v>
      </c>
      <c r="AR921">
        <v>97</v>
      </c>
      <c r="AS921">
        <v>-2</v>
      </c>
      <c r="AT921">
        <v>-192</v>
      </c>
      <c r="BB921" t="str">
        <f t="shared" si="108"/>
        <v>1200</v>
      </c>
      <c r="BC921">
        <v>1</v>
      </c>
      <c r="BD921" t="str">
        <f t="shared" si="110"/>
        <v xml:space="preserve">N745MB  </v>
      </c>
      <c r="BE921">
        <v>1</v>
      </c>
      <c r="BG921">
        <v>0</v>
      </c>
      <c r="BH921">
        <v>0</v>
      </c>
      <c r="BI921">
        <v>0</v>
      </c>
      <c r="BL921" t="s">
        <v>130</v>
      </c>
      <c r="BM921">
        <v>1</v>
      </c>
      <c r="BN921">
        <v>0</v>
      </c>
      <c r="BO921">
        <v>0</v>
      </c>
      <c r="BP921">
        <v>0</v>
      </c>
      <c r="BT921">
        <v>0</v>
      </c>
      <c r="BU921">
        <v>0</v>
      </c>
      <c r="CE921" t="str">
        <f>"20:25:51.041"</f>
        <v>20:25:51.041</v>
      </c>
      <c r="CF921">
        <v>40807297</v>
      </c>
      <c r="CS921">
        <v>0</v>
      </c>
      <c r="CT921">
        <v>2</v>
      </c>
      <c r="CU921">
        <v>0</v>
      </c>
      <c r="CV921">
        <v>2</v>
      </c>
      <c r="CW921">
        <v>0</v>
      </c>
      <c r="CX921">
        <v>5</v>
      </c>
      <c r="CY921">
        <v>7</v>
      </c>
      <c r="CZ921" t="s">
        <v>131</v>
      </c>
      <c r="DA921">
        <v>116</v>
      </c>
      <c r="DB921">
        <v>3</v>
      </c>
      <c r="DC921" t="s">
        <v>132</v>
      </c>
      <c r="DD921" t="s">
        <v>133</v>
      </c>
      <c r="DG921">
        <v>8409224</v>
      </c>
      <c r="DI921">
        <v>0</v>
      </c>
      <c r="DJ921">
        <v>0</v>
      </c>
      <c r="DK921">
        <v>1</v>
      </c>
      <c r="DL921">
        <v>0</v>
      </c>
      <c r="DM921">
        <v>0</v>
      </c>
      <c r="DN921">
        <v>0</v>
      </c>
      <c r="DO921">
        <v>0</v>
      </c>
      <c r="DP921">
        <v>1</v>
      </c>
      <c r="DQ921">
        <v>0</v>
      </c>
      <c r="DR921">
        <v>0</v>
      </c>
      <c r="DS921">
        <v>0</v>
      </c>
    </row>
    <row r="922" spans="1:123" x14ac:dyDescent="0.25">
      <c r="A922" t="str">
        <f>"11/29/2023 20:25:52.493"</f>
        <v>11/29/2023 20:25:52.493</v>
      </c>
      <c r="C922" t="str">
        <f t="shared" si="109"/>
        <v>FFDF53C0</v>
      </c>
      <c r="D922" t="s">
        <v>123</v>
      </c>
      <c r="E922">
        <v>14</v>
      </c>
      <c r="F922">
        <v>1014</v>
      </c>
      <c r="G922" t="s">
        <v>124</v>
      </c>
      <c r="J922" t="s">
        <v>125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 t="shared" ref="S922:T924" si="111">"20:25:51.977"</f>
        <v>20:25:51.977</v>
      </c>
      <c r="T922" t="str">
        <f t="shared" si="111"/>
        <v>20:25:51.977</v>
      </c>
      <c r="U922" t="str">
        <f t="shared" si="107"/>
        <v>AA0632</v>
      </c>
      <c r="V922">
        <v>0</v>
      </c>
      <c r="W922">
        <v>0</v>
      </c>
      <c r="X922">
        <v>2</v>
      </c>
      <c r="Y922">
        <v>0</v>
      </c>
      <c r="AA922">
        <v>0</v>
      </c>
      <c r="AB922">
        <v>9</v>
      </c>
      <c r="AC922">
        <v>3</v>
      </c>
      <c r="AD922">
        <v>0</v>
      </c>
      <c r="AE922">
        <v>10</v>
      </c>
      <c r="AF922" t="s">
        <v>126</v>
      </c>
      <c r="AG922">
        <v>0</v>
      </c>
      <c r="AH922">
        <v>0</v>
      </c>
      <c r="AI922">
        <v>2</v>
      </c>
      <c r="AJ922">
        <v>0</v>
      </c>
      <c r="AK922" t="s">
        <v>580</v>
      </c>
      <c r="AL922">
        <v>31.923093999999999</v>
      </c>
      <c r="AM922" t="s">
        <v>588</v>
      </c>
      <c r="AN922">
        <v>-100.990813</v>
      </c>
      <c r="AQ922" t="s">
        <v>129</v>
      </c>
      <c r="AR922">
        <v>96</v>
      </c>
      <c r="AS922">
        <v>-3</v>
      </c>
      <c r="AT922">
        <v>-128</v>
      </c>
      <c r="BB922" t="str">
        <f t="shared" si="108"/>
        <v>1200</v>
      </c>
      <c r="BC922">
        <v>1</v>
      </c>
      <c r="BD922" t="str">
        <f t="shared" si="110"/>
        <v xml:space="preserve">N745MB  </v>
      </c>
      <c r="BE922">
        <v>1</v>
      </c>
      <c r="BG922">
        <v>0</v>
      </c>
      <c r="BH922">
        <v>0</v>
      </c>
      <c r="BI922">
        <v>0</v>
      </c>
      <c r="BL922" t="s">
        <v>130</v>
      </c>
      <c r="BM922">
        <v>1</v>
      </c>
      <c r="BN922">
        <v>0</v>
      </c>
      <c r="BO922">
        <v>0</v>
      </c>
      <c r="BP922">
        <v>0</v>
      </c>
      <c r="BT922">
        <v>0</v>
      </c>
      <c r="BU922">
        <v>0</v>
      </c>
      <c r="CE922" t="str">
        <f>"20:25:51.983"</f>
        <v>20:25:51.983</v>
      </c>
      <c r="CF922">
        <v>982751526</v>
      </c>
      <c r="CS922">
        <v>0</v>
      </c>
      <c r="CT922">
        <v>2</v>
      </c>
      <c r="CU922">
        <v>0</v>
      </c>
      <c r="CV922">
        <v>2</v>
      </c>
      <c r="CW922">
        <v>0</v>
      </c>
      <c r="CX922">
        <v>4</v>
      </c>
      <c r="CY922">
        <v>7</v>
      </c>
      <c r="CZ922" t="s">
        <v>131</v>
      </c>
      <c r="DA922">
        <v>483</v>
      </c>
      <c r="DB922">
        <v>1</v>
      </c>
      <c r="DC922" t="s">
        <v>169</v>
      </c>
      <c r="DD922" t="s">
        <v>170</v>
      </c>
      <c r="DG922">
        <v>7375650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1</v>
      </c>
      <c r="DQ922">
        <v>0</v>
      </c>
      <c r="DR922">
        <v>0</v>
      </c>
      <c r="DS922">
        <v>0</v>
      </c>
    </row>
    <row r="923" spans="1:123" x14ac:dyDescent="0.25">
      <c r="A923" t="str">
        <f>"11/29/2023 20:25:52.493"</f>
        <v>11/29/2023 20:25:52.493</v>
      </c>
      <c r="C923" t="str">
        <f t="shared" si="109"/>
        <v>FFDF53C0</v>
      </c>
      <c r="D923" t="s">
        <v>138</v>
      </c>
      <c r="E923">
        <v>3</v>
      </c>
      <c r="H923">
        <v>160</v>
      </c>
      <c r="I923" t="s">
        <v>124</v>
      </c>
      <c r="J923" t="s">
        <v>139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 t="shared" si="111"/>
        <v>20:25:51.977</v>
      </c>
      <c r="T923" t="str">
        <f t="shared" si="111"/>
        <v>20:25:51.977</v>
      </c>
      <c r="U923" t="str">
        <f t="shared" si="107"/>
        <v>AA0632</v>
      </c>
      <c r="V923">
        <v>0</v>
      </c>
      <c r="W923">
        <v>0</v>
      </c>
      <c r="X923">
        <v>2</v>
      </c>
      <c r="Y923">
        <v>0</v>
      </c>
      <c r="AA923">
        <v>0</v>
      </c>
      <c r="AB923">
        <v>9</v>
      </c>
      <c r="AC923">
        <v>3</v>
      </c>
      <c r="AD923">
        <v>0</v>
      </c>
      <c r="AE923">
        <v>10</v>
      </c>
      <c r="AF923" t="s">
        <v>126</v>
      </c>
      <c r="AG923">
        <v>0</v>
      </c>
      <c r="AH923">
        <v>0</v>
      </c>
      <c r="AI923">
        <v>2</v>
      </c>
      <c r="AJ923">
        <v>0</v>
      </c>
      <c r="AK923" t="s">
        <v>580</v>
      </c>
      <c r="AL923">
        <v>31.923093999999999</v>
      </c>
      <c r="AM923" t="s">
        <v>588</v>
      </c>
      <c r="AN923">
        <v>-100.990813</v>
      </c>
      <c r="AQ923" t="s">
        <v>129</v>
      </c>
      <c r="AR923">
        <v>96</v>
      </c>
      <c r="AS923">
        <v>-3</v>
      </c>
      <c r="AT923">
        <v>-128</v>
      </c>
      <c r="BB923" t="str">
        <f t="shared" si="108"/>
        <v>1200</v>
      </c>
      <c r="BC923">
        <v>1</v>
      </c>
      <c r="BD923" t="str">
        <f t="shared" si="110"/>
        <v xml:space="preserve">N745MB  </v>
      </c>
      <c r="BE923">
        <v>1</v>
      </c>
      <c r="BG923">
        <v>0</v>
      </c>
      <c r="BH923">
        <v>0</v>
      </c>
      <c r="BI923">
        <v>0</v>
      </c>
      <c r="BL923" t="s">
        <v>130</v>
      </c>
      <c r="BM923">
        <v>1</v>
      </c>
      <c r="BN923">
        <v>0</v>
      </c>
      <c r="BO923">
        <v>0</v>
      </c>
      <c r="BP923">
        <v>0</v>
      </c>
      <c r="BT923">
        <v>0</v>
      </c>
      <c r="BU923">
        <v>0</v>
      </c>
      <c r="CE923" t="str">
        <f>"20:25:51.983"</f>
        <v>20:25:51.983</v>
      </c>
      <c r="CF923">
        <v>982751526</v>
      </c>
      <c r="CS923">
        <v>0</v>
      </c>
      <c r="CT923">
        <v>2</v>
      </c>
      <c r="CU923">
        <v>0</v>
      </c>
      <c r="CV923">
        <v>2</v>
      </c>
      <c r="CW923">
        <v>0</v>
      </c>
      <c r="CX923">
        <v>4</v>
      </c>
      <c r="CY923">
        <v>7</v>
      </c>
      <c r="CZ923" t="s">
        <v>131</v>
      </c>
      <c r="DA923">
        <v>483</v>
      </c>
      <c r="DB923">
        <v>1</v>
      </c>
      <c r="DC923" t="s">
        <v>169</v>
      </c>
      <c r="DD923" t="s">
        <v>170</v>
      </c>
      <c r="DG923">
        <v>7375650</v>
      </c>
      <c r="DI923">
        <v>0</v>
      </c>
      <c r="DJ923">
        <v>0</v>
      </c>
      <c r="DK923">
        <v>1</v>
      </c>
      <c r="DL923">
        <v>0</v>
      </c>
      <c r="DM923">
        <v>0</v>
      </c>
      <c r="DN923">
        <v>0</v>
      </c>
      <c r="DO923">
        <v>0</v>
      </c>
      <c r="DP923">
        <v>1</v>
      </c>
      <c r="DQ923">
        <v>0</v>
      </c>
      <c r="DR923">
        <v>0</v>
      </c>
      <c r="DS923">
        <v>0</v>
      </c>
    </row>
    <row r="924" spans="1:123" x14ac:dyDescent="0.25">
      <c r="A924" t="str">
        <f>"11/29/2023 20:25:52.571"</f>
        <v>11/29/2023 20:25:52.571</v>
      </c>
      <c r="C924" t="str">
        <f t="shared" si="109"/>
        <v>FFDF53C0</v>
      </c>
      <c r="D924" t="s">
        <v>164</v>
      </c>
      <c r="E924">
        <v>24</v>
      </c>
      <c r="F924">
        <v>2024</v>
      </c>
      <c r="G924" t="s">
        <v>165</v>
      </c>
      <c r="J924" t="s">
        <v>166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 t="shared" si="111"/>
        <v>20:25:51.977</v>
      </c>
      <c r="T924" t="str">
        <f t="shared" si="111"/>
        <v>20:25:51.977</v>
      </c>
      <c r="U924" t="str">
        <f t="shared" si="107"/>
        <v>AA0632</v>
      </c>
      <c r="V924">
        <v>0</v>
      </c>
      <c r="W924">
        <v>0</v>
      </c>
      <c r="X924">
        <v>2</v>
      </c>
      <c r="Y924">
        <v>0</v>
      </c>
      <c r="AA924">
        <v>0</v>
      </c>
      <c r="AB924">
        <v>9</v>
      </c>
      <c r="AC924">
        <v>3</v>
      </c>
      <c r="AD924">
        <v>0</v>
      </c>
      <c r="AE924">
        <v>10</v>
      </c>
      <c r="AF924" t="s">
        <v>126</v>
      </c>
      <c r="AG924">
        <v>0</v>
      </c>
      <c r="AH924">
        <v>0</v>
      </c>
      <c r="AI924">
        <v>2</v>
      </c>
      <c r="AJ924">
        <v>0</v>
      </c>
      <c r="AK924" t="s">
        <v>580</v>
      </c>
      <c r="AL924">
        <v>31.923093999999999</v>
      </c>
      <c r="AM924" t="s">
        <v>588</v>
      </c>
      <c r="AN924">
        <v>-100.990813</v>
      </c>
      <c r="AQ924" t="s">
        <v>129</v>
      </c>
      <c r="AR924">
        <v>96</v>
      </c>
      <c r="AS924">
        <v>-3</v>
      </c>
      <c r="AT924">
        <v>-128</v>
      </c>
      <c r="BB924" t="str">
        <f t="shared" si="108"/>
        <v>1200</v>
      </c>
      <c r="BC924">
        <v>1</v>
      </c>
      <c r="BD924" t="str">
        <f t="shared" si="110"/>
        <v xml:space="preserve">N745MB  </v>
      </c>
      <c r="BE924">
        <v>1</v>
      </c>
      <c r="BG924">
        <v>0</v>
      </c>
      <c r="BH924">
        <v>0</v>
      </c>
      <c r="BI924">
        <v>0</v>
      </c>
      <c r="BL924" t="s">
        <v>130</v>
      </c>
      <c r="BM924">
        <v>1</v>
      </c>
      <c r="BN924">
        <v>0</v>
      </c>
      <c r="BO924">
        <v>0</v>
      </c>
      <c r="BP924">
        <v>0</v>
      </c>
      <c r="BT924">
        <v>0</v>
      </c>
      <c r="BU924">
        <v>0</v>
      </c>
      <c r="CE924" t="str">
        <f>"20:25:51.983"</f>
        <v>20:25:51.983</v>
      </c>
      <c r="CF924">
        <v>982751526</v>
      </c>
      <c r="CS924">
        <v>0</v>
      </c>
      <c r="CT924">
        <v>2</v>
      </c>
      <c r="CU924">
        <v>0</v>
      </c>
      <c r="CV924">
        <v>2</v>
      </c>
      <c r="CW924">
        <v>0</v>
      </c>
      <c r="CX924">
        <v>4</v>
      </c>
      <c r="CY924">
        <v>7</v>
      </c>
      <c r="CZ924" t="s">
        <v>131</v>
      </c>
      <c r="DA924">
        <v>483</v>
      </c>
      <c r="DB924">
        <v>1</v>
      </c>
      <c r="DC924" t="s">
        <v>169</v>
      </c>
      <c r="DD924" t="s">
        <v>170</v>
      </c>
      <c r="DG924">
        <v>7375650</v>
      </c>
      <c r="DI924">
        <v>0</v>
      </c>
      <c r="DJ924">
        <v>0</v>
      </c>
      <c r="DK924">
        <v>1</v>
      </c>
      <c r="DL924">
        <v>0</v>
      </c>
      <c r="DM924">
        <v>0</v>
      </c>
      <c r="DN924">
        <v>0</v>
      </c>
      <c r="DO924">
        <v>0</v>
      </c>
      <c r="DP924">
        <v>1</v>
      </c>
      <c r="DQ924">
        <v>0</v>
      </c>
      <c r="DR924">
        <v>0</v>
      </c>
      <c r="DS924">
        <v>0</v>
      </c>
    </row>
    <row r="925" spans="1:123" x14ac:dyDescent="0.25">
      <c r="A925" t="str">
        <f>"11/29/2023 20:26:09.102"</f>
        <v>11/29/2023 20:26:09.102</v>
      </c>
      <c r="C925" t="str">
        <f t="shared" si="109"/>
        <v>FFDF53C0</v>
      </c>
      <c r="D925" t="s">
        <v>123</v>
      </c>
      <c r="E925">
        <v>14</v>
      </c>
      <c r="F925">
        <v>1014</v>
      </c>
      <c r="G925" t="s">
        <v>124</v>
      </c>
      <c r="J925" t="s">
        <v>125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>"20:26:08.852"</f>
        <v>20:26:08.852</v>
      </c>
      <c r="T925" t="str">
        <f>"20:26:08.052"</f>
        <v>20:26:08.052</v>
      </c>
      <c r="U925" t="str">
        <f t="shared" si="107"/>
        <v>AA0632</v>
      </c>
      <c r="V925">
        <v>0</v>
      </c>
      <c r="W925">
        <v>0</v>
      </c>
      <c r="X925">
        <v>2</v>
      </c>
      <c r="Y925">
        <v>0</v>
      </c>
      <c r="AA925">
        <v>0</v>
      </c>
      <c r="AB925">
        <v>9</v>
      </c>
      <c r="AC925">
        <v>3</v>
      </c>
      <c r="AD925">
        <v>0</v>
      </c>
      <c r="AE925">
        <v>10</v>
      </c>
      <c r="AF925" t="s">
        <v>126</v>
      </c>
      <c r="AG925">
        <v>0</v>
      </c>
      <c r="AH925">
        <v>0</v>
      </c>
      <c r="AI925">
        <v>2</v>
      </c>
      <c r="AJ925">
        <v>0</v>
      </c>
      <c r="AK925" t="s">
        <v>589</v>
      </c>
      <c r="AL925">
        <v>31.922965000000001</v>
      </c>
      <c r="AM925" t="s">
        <v>590</v>
      </c>
      <c r="AN925">
        <v>-100.98192899999999</v>
      </c>
      <c r="AQ925" t="s">
        <v>129</v>
      </c>
      <c r="AR925">
        <v>98</v>
      </c>
      <c r="AS925">
        <v>0</v>
      </c>
      <c r="AT925">
        <v>-64</v>
      </c>
      <c r="BB925" t="str">
        <f t="shared" si="108"/>
        <v>1200</v>
      </c>
      <c r="BC925">
        <v>1</v>
      </c>
      <c r="BD925" t="str">
        <f t="shared" si="110"/>
        <v xml:space="preserve">N745MB  </v>
      </c>
      <c r="BE925">
        <v>1</v>
      </c>
      <c r="BG925">
        <v>0</v>
      </c>
      <c r="BH925">
        <v>0</v>
      </c>
      <c r="BI925">
        <v>0</v>
      </c>
      <c r="BL925" t="s">
        <v>130</v>
      </c>
      <c r="BM925">
        <v>1</v>
      </c>
      <c r="BN925">
        <v>0</v>
      </c>
      <c r="BO925">
        <v>0</v>
      </c>
      <c r="BP925">
        <v>0</v>
      </c>
      <c r="BT925">
        <v>0</v>
      </c>
      <c r="BU925">
        <v>0</v>
      </c>
      <c r="CE925" t="str">
        <f>"20:26:08.854"</f>
        <v>20:26:08.854</v>
      </c>
      <c r="CF925">
        <v>853621076</v>
      </c>
      <c r="CS925">
        <v>0</v>
      </c>
      <c r="CT925">
        <v>2</v>
      </c>
      <c r="CU925">
        <v>0</v>
      </c>
      <c r="CV925">
        <v>2</v>
      </c>
      <c r="CW925">
        <v>0</v>
      </c>
      <c r="CX925">
        <v>3</v>
      </c>
      <c r="CY925">
        <v>7</v>
      </c>
      <c r="CZ925" t="s">
        <v>131</v>
      </c>
      <c r="DA925">
        <v>483</v>
      </c>
      <c r="DB925">
        <v>1</v>
      </c>
      <c r="DC925" t="s">
        <v>169</v>
      </c>
      <c r="DD925" t="s">
        <v>170</v>
      </c>
      <c r="DG925">
        <v>7378022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1</v>
      </c>
      <c r="DQ925">
        <v>0</v>
      </c>
      <c r="DR925">
        <v>0</v>
      </c>
      <c r="DS925">
        <v>0</v>
      </c>
    </row>
    <row r="926" spans="1:123" x14ac:dyDescent="0.25">
      <c r="A926" t="str">
        <f>"11/29/2023 20:26:09.102"</f>
        <v>11/29/2023 20:26:09.102</v>
      </c>
      <c r="C926" t="str">
        <f t="shared" si="109"/>
        <v>FFDF53C0</v>
      </c>
      <c r="D926" t="s">
        <v>138</v>
      </c>
      <c r="E926">
        <v>3</v>
      </c>
      <c r="H926">
        <v>160</v>
      </c>
      <c r="I926" t="s">
        <v>124</v>
      </c>
      <c r="J926" t="s">
        <v>139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>"20:26:08.852"</f>
        <v>20:26:08.852</v>
      </c>
      <c r="T926" t="str">
        <f>"20:26:08.052"</f>
        <v>20:26:08.052</v>
      </c>
      <c r="U926" t="str">
        <f t="shared" si="107"/>
        <v>AA0632</v>
      </c>
      <c r="V926">
        <v>0</v>
      </c>
      <c r="W926">
        <v>0</v>
      </c>
      <c r="X926">
        <v>2</v>
      </c>
      <c r="Y926">
        <v>0</v>
      </c>
      <c r="AA926">
        <v>0</v>
      </c>
      <c r="AB926">
        <v>9</v>
      </c>
      <c r="AC926">
        <v>3</v>
      </c>
      <c r="AD926">
        <v>0</v>
      </c>
      <c r="AE926">
        <v>10</v>
      </c>
      <c r="AF926" t="s">
        <v>126</v>
      </c>
      <c r="AG926">
        <v>0</v>
      </c>
      <c r="AH926">
        <v>0</v>
      </c>
      <c r="AI926">
        <v>2</v>
      </c>
      <c r="AJ926">
        <v>0</v>
      </c>
      <c r="AK926" t="s">
        <v>589</v>
      </c>
      <c r="AL926">
        <v>31.922965000000001</v>
      </c>
      <c r="AM926" t="s">
        <v>590</v>
      </c>
      <c r="AN926">
        <v>-100.98192899999999</v>
      </c>
      <c r="AQ926" t="s">
        <v>129</v>
      </c>
      <c r="AR926">
        <v>98</v>
      </c>
      <c r="AS926">
        <v>0</v>
      </c>
      <c r="AT926">
        <v>-64</v>
      </c>
      <c r="BB926" t="str">
        <f t="shared" si="108"/>
        <v>1200</v>
      </c>
      <c r="BC926">
        <v>1</v>
      </c>
      <c r="BD926" t="str">
        <f t="shared" si="110"/>
        <v xml:space="preserve">N745MB  </v>
      </c>
      <c r="BE926">
        <v>1</v>
      </c>
      <c r="BG926">
        <v>0</v>
      </c>
      <c r="BH926">
        <v>0</v>
      </c>
      <c r="BI926">
        <v>0</v>
      </c>
      <c r="BL926" t="s">
        <v>130</v>
      </c>
      <c r="BM926">
        <v>1</v>
      </c>
      <c r="BN926">
        <v>0</v>
      </c>
      <c r="BO926">
        <v>0</v>
      </c>
      <c r="BP926">
        <v>0</v>
      </c>
      <c r="BT926">
        <v>0</v>
      </c>
      <c r="BU926">
        <v>0</v>
      </c>
      <c r="CE926" t="str">
        <f>"20:26:08.854"</f>
        <v>20:26:08.854</v>
      </c>
      <c r="CF926">
        <v>853621076</v>
      </c>
      <c r="CS926">
        <v>0</v>
      </c>
      <c r="CT926">
        <v>2</v>
      </c>
      <c r="CU926">
        <v>0</v>
      </c>
      <c r="CV926">
        <v>2</v>
      </c>
      <c r="CW926">
        <v>0</v>
      </c>
      <c r="CX926">
        <v>3</v>
      </c>
      <c r="CY926">
        <v>7</v>
      </c>
      <c r="CZ926" t="s">
        <v>131</v>
      </c>
      <c r="DA926">
        <v>483</v>
      </c>
      <c r="DB926">
        <v>1</v>
      </c>
      <c r="DC926" t="s">
        <v>169</v>
      </c>
      <c r="DD926" t="s">
        <v>170</v>
      </c>
      <c r="DG926">
        <v>7378022</v>
      </c>
      <c r="DI926">
        <v>0</v>
      </c>
      <c r="DJ926">
        <v>0</v>
      </c>
      <c r="DK926">
        <v>1</v>
      </c>
      <c r="DL926">
        <v>0</v>
      </c>
      <c r="DM926">
        <v>0</v>
      </c>
      <c r="DN926">
        <v>0</v>
      </c>
      <c r="DO926">
        <v>0</v>
      </c>
      <c r="DP926">
        <v>1</v>
      </c>
      <c r="DQ926">
        <v>0</v>
      </c>
      <c r="DR926">
        <v>0</v>
      </c>
      <c r="DS926">
        <v>0</v>
      </c>
    </row>
    <row r="927" spans="1:123" x14ac:dyDescent="0.25">
      <c r="A927" t="str">
        <f>"11/29/2023 20:26:09.149"</f>
        <v>11/29/2023 20:26:09.149</v>
      </c>
      <c r="C927" t="str">
        <f t="shared" si="109"/>
        <v>FFDF53C0</v>
      </c>
      <c r="D927" t="s">
        <v>164</v>
      </c>
      <c r="E927">
        <v>24</v>
      </c>
      <c r="F927">
        <v>2024</v>
      </c>
      <c r="G927" t="s">
        <v>165</v>
      </c>
      <c r="J927" t="s">
        <v>166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>"20:26:08.852"</f>
        <v>20:26:08.852</v>
      </c>
      <c r="T927" t="str">
        <f>"20:26:08.052"</f>
        <v>20:26:08.052</v>
      </c>
      <c r="U927" t="str">
        <f t="shared" si="107"/>
        <v>AA0632</v>
      </c>
      <c r="V927">
        <v>0</v>
      </c>
      <c r="W927">
        <v>0</v>
      </c>
      <c r="X927">
        <v>2</v>
      </c>
      <c r="Y927">
        <v>0</v>
      </c>
      <c r="AA927">
        <v>0</v>
      </c>
      <c r="AB927">
        <v>9</v>
      </c>
      <c r="AC927">
        <v>3</v>
      </c>
      <c r="AD927">
        <v>0</v>
      </c>
      <c r="AE927">
        <v>10</v>
      </c>
      <c r="AF927" t="s">
        <v>126</v>
      </c>
      <c r="AG927">
        <v>0</v>
      </c>
      <c r="AH927">
        <v>0</v>
      </c>
      <c r="AI927">
        <v>2</v>
      </c>
      <c r="AJ927">
        <v>0</v>
      </c>
      <c r="AK927" t="s">
        <v>589</v>
      </c>
      <c r="AL927">
        <v>31.922965000000001</v>
      </c>
      <c r="AM927" t="s">
        <v>590</v>
      </c>
      <c r="AN927">
        <v>-100.98192899999999</v>
      </c>
      <c r="AQ927" t="s">
        <v>129</v>
      </c>
      <c r="AR927">
        <v>98</v>
      </c>
      <c r="AS927">
        <v>0</v>
      </c>
      <c r="AT927">
        <v>-64</v>
      </c>
      <c r="BB927" t="str">
        <f t="shared" si="108"/>
        <v>1200</v>
      </c>
      <c r="BC927">
        <v>1</v>
      </c>
      <c r="BD927" t="str">
        <f t="shared" si="110"/>
        <v xml:space="preserve">N745MB  </v>
      </c>
      <c r="BE927">
        <v>1</v>
      </c>
      <c r="BG927">
        <v>0</v>
      </c>
      <c r="BH927">
        <v>0</v>
      </c>
      <c r="BI927">
        <v>0</v>
      </c>
      <c r="BL927" t="s">
        <v>130</v>
      </c>
      <c r="BM927">
        <v>1</v>
      </c>
      <c r="BN927">
        <v>0</v>
      </c>
      <c r="BO927">
        <v>0</v>
      </c>
      <c r="BP927">
        <v>0</v>
      </c>
      <c r="BT927">
        <v>0</v>
      </c>
      <c r="BU927">
        <v>0</v>
      </c>
      <c r="CE927" t="str">
        <f>"20:26:08.854"</f>
        <v>20:26:08.854</v>
      </c>
      <c r="CF927">
        <v>853621076</v>
      </c>
      <c r="CS927">
        <v>0</v>
      </c>
      <c r="CT927">
        <v>2</v>
      </c>
      <c r="CU927">
        <v>0</v>
      </c>
      <c r="CV927">
        <v>2</v>
      </c>
      <c r="CW927">
        <v>0</v>
      </c>
      <c r="CX927">
        <v>3</v>
      </c>
      <c r="CY927">
        <v>7</v>
      </c>
      <c r="CZ927" t="s">
        <v>131</v>
      </c>
      <c r="DA927">
        <v>483</v>
      </c>
      <c r="DB927">
        <v>1</v>
      </c>
      <c r="DC927" t="s">
        <v>169</v>
      </c>
      <c r="DD927" t="s">
        <v>170</v>
      </c>
      <c r="DG927">
        <v>7378022</v>
      </c>
      <c r="DI927">
        <v>0</v>
      </c>
      <c r="DJ927">
        <v>0</v>
      </c>
      <c r="DK927">
        <v>1</v>
      </c>
      <c r="DL927">
        <v>0</v>
      </c>
      <c r="DM927">
        <v>0</v>
      </c>
      <c r="DN927">
        <v>0</v>
      </c>
      <c r="DO927">
        <v>0</v>
      </c>
      <c r="DP927">
        <v>1</v>
      </c>
      <c r="DQ927">
        <v>0</v>
      </c>
      <c r="DR927">
        <v>0</v>
      </c>
      <c r="DS927">
        <v>0</v>
      </c>
    </row>
    <row r="928" spans="1:123" x14ac:dyDescent="0.25">
      <c r="A928" t="str">
        <f>"11/29/2023 20:26:10.087"</f>
        <v>11/29/2023 20:26:10.087</v>
      </c>
      <c r="C928" t="str">
        <f t="shared" si="109"/>
        <v>FFDF53C0</v>
      </c>
      <c r="D928" t="s">
        <v>123</v>
      </c>
      <c r="E928">
        <v>14</v>
      </c>
      <c r="F928">
        <v>1014</v>
      </c>
      <c r="G928" t="s">
        <v>124</v>
      </c>
      <c r="J928" t="s">
        <v>125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>"20:26:09.797"</f>
        <v>20:26:09.797</v>
      </c>
      <c r="T928" t="str">
        <f>"20:26:09.497"</f>
        <v>20:26:09.497</v>
      </c>
      <c r="U928" t="str">
        <f t="shared" si="107"/>
        <v>AA0632</v>
      </c>
      <c r="V928">
        <v>0</v>
      </c>
      <c r="W928">
        <v>0</v>
      </c>
      <c r="X928">
        <v>2</v>
      </c>
      <c r="Y928">
        <v>0</v>
      </c>
      <c r="AA928">
        <v>0</v>
      </c>
      <c r="AB928">
        <v>9</v>
      </c>
      <c r="AC928">
        <v>3</v>
      </c>
      <c r="AD928">
        <v>0</v>
      </c>
      <c r="AE928">
        <v>10</v>
      </c>
      <c r="AF928" t="s">
        <v>126</v>
      </c>
      <c r="AG928">
        <v>0</v>
      </c>
      <c r="AH928">
        <v>0</v>
      </c>
      <c r="AI928">
        <v>2</v>
      </c>
      <c r="AJ928">
        <v>0</v>
      </c>
      <c r="AK928" t="s">
        <v>589</v>
      </c>
      <c r="AL928">
        <v>31.922965000000001</v>
      </c>
      <c r="AM928" t="s">
        <v>591</v>
      </c>
      <c r="AN928">
        <v>-100.981393</v>
      </c>
      <c r="AQ928" t="s">
        <v>129</v>
      </c>
      <c r="AR928">
        <v>98</v>
      </c>
      <c r="AS928">
        <v>1</v>
      </c>
      <c r="AT928">
        <v>-64</v>
      </c>
      <c r="BB928" t="str">
        <f t="shared" si="108"/>
        <v>1200</v>
      </c>
      <c r="BC928">
        <v>1</v>
      </c>
      <c r="BD928" t="str">
        <f t="shared" si="110"/>
        <v xml:space="preserve">N745MB  </v>
      </c>
      <c r="BE928">
        <v>1</v>
      </c>
      <c r="BG928">
        <v>0</v>
      </c>
      <c r="BH928">
        <v>0</v>
      </c>
      <c r="BI928">
        <v>0</v>
      </c>
      <c r="BL928" t="s">
        <v>130</v>
      </c>
      <c r="BM928">
        <v>1</v>
      </c>
      <c r="BN928">
        <v>0</v>
      </c>
      <c r="BO928">
        <v>0</v>
      </c>
      <c r="BP928">
        <v>0</v>
      </c>
      <c r="BT928">
        <v>0</v>
      </c>
      <c r="BU928">
        <v>0</v>
      </c>
      <c r="CE928" t="str">
        <f>"20:26:09.798"</f>
        <v>20:26:09.798</v>
      </c>
      <c r="CF928">
        <v>797552355</v>
      </c>
      <c r="CS928">
        <v>0</v>
      </c>
      <c r="CT928">
        <v>2</v>
      </c>
      <c r="CU928">
        <v>0</v>
      </c>
      <c r="CV928">
        <v>2</v>
      </c>
      <c r="CW928">
        <v>0</v>
      </c>
      <c r="CX928">
        <v>5</v>
      </c>
      <c r="CY928">
        <v>7</v>
      </c>
      <c r="CZ928" t="s">
        <v>131</v>
      </c>
      <c r="DA928">
        <v>116</v>
      </c>
      <c r="DB928">
        <v>3</v>
      </c>
      <c r="DC928" t="s">
        <v>132</v>
      </c>
      <c r="DD928" t="s">
        <v>133</v>
      </c>
      <c r="DG928">
        <v>8419291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1</v>
      </c>
      <c r="DQ928">
        <v>0</v>
      </c>
      <c r="DR928">
        <v>0</v>
      </c>
      <c r="DS928">
        <v>0</v>
      </c>
    </row>
    <row r="929" spans="1:123" x14ac:dyDescent="0.25">
      <c r="A929" t="str">
        <f>"11/29/2023 20:26:10.087"</f>
        <v>11/29/2023 20:26:10.087</v>
      </c>
      <c r="C929" t="str">
        <f t="shared" si="109"/>
        <v>FFDF53C0</v>
      </c>
      <c r="D929" t="s">
        <v>138</v>
      </c>
      <c r="E929">
        <v>3</v>
      </c>
      <c r="H929">
        <v>160</v>
      </c>
      <c r="I929" t="s">
        <v>124</v>
      </c>
      <c r="J929" t="s">
        <v>139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>"20:26:09.797"</f>
        <v>20:26:09.797</v>
      </c>
      <c r="T929" t="str">
        <f>"20:26:09.497"</f>
        <v>20:26:09.497</v>
      </c>
      <c r="U929" t="str">
        <f t="shared" si="107"/>
        <v>AA0632</v>
      </c>
      <c r="V929">
        <v>0</v>
      </c>
      <c r="W929">
        <v>0</v>
      </c>
      <c r="X929">
        <v>2</v>
      </c>
      <c r="Y929">
        <v>0</v>
      </c>
      <c r="AA929">
        <v>0</v>
      </c>
      <c r="AB929">
        <v>9</v>
      </c>
      <c r="AC929">
        <v>3</v>
      </c>
      <c r="AD929">
        <v>0</v>
      </c>
      <c r="AE929">
        <v>10</v>
      </c>
      <c r="AF929" t="s">
        <v>126</v>
      </c>
      <c r="AG929">
        <v>0</v>
      </c>
      <c r="AH929">
        <v>0</v>
      </c>
      <c r="AI929">
        <v>2</v>
      </c>
      <c r="AJ929">
        <v>0</v>
      </c>
      <c r="AK929" t="s">
        <v>589</v>
      </c>
      <c r="AL929">
        <v>31.922965000000001</v>
      </c>
      <c r="AM929" t="s">
        <v>591</v>
      </c>
      <c r="AN929">
        <v>-100.981393</v>
      </c>
      <c r="AQ929" t="s">
        <v>129</v>
      </c>
      <c r="AR929">
        <v>98</v>
      </c>
      <c r="AS929">
        <v>1</v>
      </c>
      <c r="AT929">
        <v>-64</v>
      </c>
      <c r="BB929" t="str">
        <f t="shared" si="108"/>
        <v>1200</v>
      </c>
      <c r="BC929">
        <v>1</v>
      </c>
      <c r="BD929" t="str">
        <f t="shared" si="110"/>
        <v xml:space="preserve">N745MB  </v>
      </c>
      <c r="BE929">
        <v>1</v>
      </c>
      <c r="BG929">
        <v>0</v>
      </c>
      <c r="BH929">
        <v>0</v>
      </c>
      <c r="BI929">
        <v>0</v>
      </c>
      <c r="BL929" t="s">
        <v>130</v>
      </c>
      <c r="BM929">
        <v>1</v>
      </c>
      <c r="BN929">
        <v>0</v>
      </c>
      <c r="BO929">
        <v>0</v>
      </c>
      <c r="BP929">
        <v>0</v>
      </c>
      <c r="BT929">
        <v>0</v>
      </c>
      <c r="BU929">
        <v>0</v>
      </c>
      <c r="CE929" t="str">
        <f>"20:26:09.798"</f>
        <v>20:26:09.798</v>
      </c>
      <c r="CF929">
        <v>797552355</v>
      </c>
      <c r="CS929">
        <v>0</v>
      </c>
      <c r="CT929">
        <v>2</v>
      </c>
      <c r="CU929">
        <v>0</v>
      </c>
      <c r="CV929">
        <v>2</v>
      </c>
      <c r="CW929">
        <v>0</v>
      </c>
      <c r="CX929">
        <v>5</v>
      </c>
      <c r="CY929">
        <v>7</v>
      </c>
      <c r="CZ929" t="s">
        <v>131</v>
      </c>
      <c r="DA929">
        <v>116</v>
      </c>
      <c r="DB929">
        <v>3</v>
      </c>
      <c r="DC929" t="s">
        <v>132</v>
      </c>
      <c r="DD929" t="s">
        <v>133</v>
      </c>
      <c r="DG929">
        <v>8419291</v>
      </c>
      <c r="DI929">
        <v>0</v>
      </c>
      <c r="DJ929">
        <v>0</v>
      </c>
      <c r="DK929">
        <v>1</v>
      </c>
      <c r="DL929">
        <v>0</v>
      </c>
      <c r="DM929">
        <v>0</v>
      </c>
      <c r="DN929">
        <v>0</v>
      </c>
      <c r="DO929">
        <v>0</v>
      </c>
      <c r="DP929">
        <v>1</v>
      </c>
      <c r="DQ929">
        <v>0</v>
      </c>
      <c r="DR929">
        <v>0</v>
      </c>
      <c r="DS929">
        <v>0</v>
      </c>
    </row>
    <row r="930" spans="1:123" x14ac:dyDescent="0.25">
      <c r="A930" t="str">
        <f>"11/29/2023 20:26:10.087"</f>
        <v>11/29/2023 20:26:10.087</v>
      </c>
      <c r="C930" t="str">
        <f t="shared" si="109"/>
        <v>FFDF53C0</v>
      </c>
      <c r="D930" t="s">
        <v>123</v>
      </c>
      <c r="E930">
        <v>1</v>
      </c>
      <c r="F930">
        <v>1001</v>
      </c>
      <c r="G930" t="s">
        <v>134</v>
      </c>
      <c r="J930" t="s">
        <v>125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>"20:26:09.797"</f>
        <v>20:26:09.797</v>
      </c>
      <c r="T930" t="str">
        <f>"20:26:09.497"</f>
        <v>20:26:09.497</v>
      </c>
      <c r="U930" t="str">
        <f t="shared" si="107"/>
        <v>AA0632</v>
      </c>
      <c r="V930">
        <v>0</v>
      </c>
      <c r="W930">
        <v>0</v>
      </c>
      <c r="X930">
        <v>2</v>
      </c>
      <c r="Y930">
        <v>0</v>
      </c>
      <c r="AA930">
        <v>0</v>
      </c>
      <c r="AB930">
        <v>9</v>
      </c>
      <c r="AC930">
        <v>3</v>
      </c>
      <c r="AD930">
        <v>0</v>
      </c>
      <c r="AE930">
        <v>10</v>
      </c>
      <c r="AF930" t="s">
        <v>126</v>
      </c>
      <c r="AG930">
        <v>0</v>
      </c>
      <c r="AH930">
        <v>0</v>
      </c>
      <c r="AI930">
        <v>2</v>
      </c>
      <c r="AJ930">
        <v>0</v>
      </c>
      <c r="AK930" t="s">
        <v>589</v>
      </c>
      <c r="AL930">
        <v>31.922965000000001</v>
      </c>
      <c r="AM930" t="s">
        <v>591</v>
      </c>
      <c r="AN930">
        <v>-100.981393</v>
      </c>
      <c r="AQ930" t="s">
        <v>129</v>
      </c>
      <c r="AR930">
        <v>98</v>
      </c>
      <c r="AS930">
        <v>1</v>
      </c>
      <c r="AT930">
        <v>-64</v>
      </c>
      <c r="BB930" t="str">
        <f t="shared" si="108"/>
        <v>1200</v>
      </c>
      <c r="BC930">
        <v>1</v>
      </c>
      <c r="BD930" t="str">
        <f t="shared" si="110"/>
        <v xml:space="preserve">N745MB  </v>
      </c>
      <c r="BE930">
        <v>1</v>
      </c>
      <c r="BG930">
        <v>0</v>
      </c>
      <c r="BH930">
        <v>0</v>
      </c>
      <c r="BI930">
        <v>0</v>
      </c>
      <c r="BL930" t="s">
        <v>130</v>
      </c>
      <c r="BM930">
        <v>1</v>
      </c>
      <c r="BN930">
        <v>0</v>
      </c>
      <c r="BO930">
        <v>0</v>
      </c>
      <c r="BP930">
        <v>0</v>
      </c>
      <c r="BT930">
        <v>0</v>
      </c>
      <c r="BU930">
        <v>0</v>
      </c>
      <c r="CE930" t="str">
        <f>"20:26:09.798"</f>
        <v>20:26:09.798</v>
      </c>
      <c r="CF930">
        <v>797552355</v>
      </c>
      <c r="CS930">
        <v>0</v>
      </c>
      <c r="CT930">
        <v>2</v>
      </c>
      <c r="CU930">
        <v>0</v>
      </c>
      <c r="CV930">
        <v>2</v>
      </c>
      <c r="CW930">
        <v>0</v>
      </c>
      <c r="CX930">
        <v>5</v>
      </c>
      <c r="CY930">
        <v>7</v>
      </c>
      <c r="CZ930" t="s">
        <v>131</v>
      </c>
      <c r="DA930">
        <v>116</v>
      </c>
      <c r="DB930">
        <v>3</v>
      </c>
      <c r="DC930" t="s">
        <v>132</v>
      </c>
      <c r="DD930" t="s">
        <v>133</v>
      </c>
      <c r="DG930">
        <v>8419291</v>
      </c>
      <c r="DI930">
        <v>0</v>
      </c>
      <c r="DJ930">
        <v>0</v>
      </c>
      <c r="DK930">
        <v>1</v>
      </c>
      <c r="DL930">
        <v>0</v>
      </c>
      <c r="DM930">
        <v>0</v>
      </c>
      <c r="DN930">
        <v>0</v>
      </c>
      <c r="DO930">
        <v>0</v>
      </c>
      <c r="DP930">
        <v>1</v>
      </c>
      <c r="DQ930">
        <v>0</v>
      </c>
      <c r="DR930">
        <v>0</v>
      </c>
      <c r="DS930">
        <v>0</v>
      </c>
    </row>
    <row r="931" spans="1:123" x14ac:dyDescent="0.25">
      <c r="A931" t="str">
        <f>"11/29/2023 20:26:10.133"</f>
        <v>11/29/2023 20:26:10.133</v>
      </c>
      <c r="C931" t="str">
        <f t="shared" si="109"/>
        <v>FFDF53C0</v>
      </c>
      <c r="D931" t="s">
        <v>135</v>
      </c>
      <c r="E931">
        <v>31</v>
      </c>
      <c r="H931">
        <v>285</v>
      </c>
      <c r="I931" t="s">
        <v>136</v>
      </c>
      <c r="J931" t="s">
        <v>137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>"20:26:09.797"</f>
        <v>20:26:09.797</v>
      </c>
      <c r="T931" t="str">
        <f>"20:26:09.497"</f>
        <v>20:26:09.497</v>
      </c>
      <c r="U931" t="str">
        <f t="shared" si="107"/>
        <v>AA0632</v>
      </c>
      <c r="V931">
        <v>0</v>
      </c>
      <c r="W931">
        <v>0</v>
      </c>
      <c r="X931">
        <v>2</v>
      </c>
      <c r="Y931">
        <v>0</v>
      </c>
      <c r="AA931">
        <v>0</v>
      </c>
      <c r="AB931">
        <v>9</v>
      </c>
      <c r="AC931">
        <v>3</v>
      </c>
      <c r="AD931">
        <v>0</v>
      </c>
      <c r="AE931">
        <v>10</v>
      </c>
      <c r="AF931" t="s">
        <v>126</v>
      </c>
      <c r="AG931">
        <v>0</v>
      </c>
      <c r="AH931">
        <v>0</v>
      </c>
      <c r="AI931">
        <v>2</v>
      </c>
      <c r="AJ931">
        <v>0</v>
      </c>
      <c r="AK931" t="s">
        <v>589</v>
      </c>
      <c r="AL931">
        <v>31.922965000000001</v>
      </c>
      <c r="AM931" t="s">
        <v>591</v>
      </c>
      <c r="AN931">
        <v>-100.981393</v>
      </c>
      <c r="AQ931" t="s">
        <v>129</v>
      </c>
      <c r="AR931">
        <v>98</v>
      </c>
      <c r="AS931">
        <v>1</v>
      </c>
      <c r="AT931">
        <v>-64</v>
      </c>
      <c r="BB931" t="str">
        <f t="shared" si="108"/>
        <v>1200</v>
      </c>
      <c r="BC931">
        <v>1</v>
      </c>
      <c r="BD931" t="str">
        <f t="shared" si="110"/>
        <v xml:space="preserve">N745MB  </v>
      </c>
      <c r="BE931">
        <v>1</v>
      </c>
      <c r="BG931">
        <v>0</v>
      </c>
      <c r="BH931">
        <v>0</v>
      </c>
      <c r="BI931">
        <v>0</v>
      </c>
      <c r="BL931" t="s">
        <v>130</v>
      </c>
      <c r="BM931">
        <v>1</v>
      </c>
      <c r="BN931">
        <v>0</v>
      </c>
      <c r="BO931">
        <v>0</v>
      </c>
      <c r="BP931">
        <v>0</v>
      </c>
      <c r="BT931">
        <v>0</v>
      </c>
      <c r="BU931">
        <v>0</v>
      </c>
      <c r="CE931" t="str">
        <f>"20:26:09.798"</f>
        <v>20:26:09.798</v>
      </c>
      <c r="CF931">
        <v>797552355</v>
      </c>
      <c r="CS931">
        <v>0</v>
      </c>
      <c r="CT931">
        <v>2</v>
      </c>
      <c r="CU931">
        <v>0</v>
      </c>
      <c r="CV931">
        <v>2</v>
      </c>
      <c r="CW931">
        <v>0</v>
      </c>
      <c r="CX931">
        <v>5</v>
      </c>
      <c r="CY931">
        <v>7</v>
      </c>
      <c r="CZ931" t="s">
        <v>131</v>
      </c>
      <c r="DA931">
        <v>116</v>
      </c>
      <c r="DB931">
        <v>3</v>
      </c>
      <c r="DC931" t="s">
        <v>132</v>
      </c>
      <c r="DD931" t="s">
        <v>133</v>
      </c>
      <c r="DG931">
        <v>8419291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1</v>
      </c>
      <c r="DQ931">
        <v>0</v>
      </c>
      <c r="DR931">
        <v>0</v>
      </c>
      <c r="DS931">
        <v>0</v>
      </c>
    </row>
    <row r="932" spans="1:123" x14ac:dyDescent="0.25">
      <c r="A932" t="str">
        <f>"11/29/2023 20:26:11.571"</f>
        <v>11/29/2023 20:26:11.571</v>
      </c>
      <c r="C932" t="str">
        <f t="shared" si="109"/>
        <v>FFDF53C0</v>
      </c>
      <c r="D932" t="s">
        <v>135</v>
      </c>
      <c r="E932">
        <v>31</v>
      </c>
      <c r="H932">
        <v>285</v>
      </c>
      <c r="I932" t="s">
        <v>136</v>
      </c>
      <c r="J932" t="s">
        <v>137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>"20:26:11.234"</f>
        <v>20:26:11.234</v>
      </c>
      <c r="T932" t="str">
        <f>"20:26:11.234"</f>
        <v>20:26:11.234</v>
      </c>
      <c r="U932" t="str">
        <f t="shared" si="107"/>
        <v>AA0632</v>
      </c>
      <c r="V932">
        <v>0</v>
      </c>
      <c r="W932">
        <v>0</v>
      </c>
      <c r="X932">
        <v>2</v>
      </c>
      <c r="Y932">
        <v>0</v>
      </c>
      <c r="AA932">
        <v>0</v>
      </c>
      <c r="AB932">
        <v>9</v>
      </c>
      <c r="AC932">
        <v>3</v>
      </c>
      <c r="AD932">
        <v>0</v>
      </c>
      <c r="AE932">
        <v>10</v>
      </c>
      <c r="AF932" t="s">
        <v>126</v>
      </c>
      <c r="AG932">
        <v>0</v>
      </c>
      <c r="AH932">
        <v>0</v>
      </c>
      <c r="AI932">
        <v>2</v>
      </c>
      <c r="AJ932">
        <v>0</v>
      </c>
      <c r="AK932" t="s">
        <v>589</v>
      </c>
      <c r="AL932">
        <v>31.922965000000001</v>
      </c>
      <c r="AM932" t="s">
        <v>592</v>
      </c>
      <c r="AN932">
        <v>-100.98062</v>
      </c>
      <c r="AQ932" t="s">
        <v>129</v>
      </c>
      <c r="AR932">
        <v>99</v>
      </c>
      <c r="AS932">
        <v>1</v>
      </c>
      <c r="AT932">
        <v>-128</v>
      </c>
      <c r="BB932" t="str">
        <f t="shared" si="108"/>
        <v>1200</v>
      </c>
      <c r="BC932">
        <v>1</v>
      </c>
      <c r="BD932" t="str">
        <f t="shared" si="110"/>
        <v xml:space="preserve">N745MB  </v>
      </c>
      <c r="BE932">
        <v>1</v>
      </c>
      <c r="BG932">
        <v>0</v>
      </c>
      <c r="BH932">
        <v>0</v>
      </c>
      <c r="BI932">
        <v>0</v>
      </c>
      <c r="BL932" t="s">
        <v>130</v>
      </c>
      <c r="BM932">
        <v>1</v>
      </c>
      <c r="BN932">
        <v>0</v>
      </c>
      <c r="BO932">
        <v>0</v>
      </c>
      <c r="BP932">
        <v>0</v>
      </c>
      <c r="BT932">
        <v>0</v>
      </c>
      <c r="BU932">
        <v>0</v>
      </c>
      <c r="CE932" t="str">
        <f>"20:26:11.239"</f>
        <v>20:26:11.239</v>
      </c>
      <c r="CF932">
        <v>239456113</v>
      </c>
      <c r="CS932">
        <v>0</v>
      </c>
      <c r="CT932">
        <v>2</v>
      </c>
      <c r="CU932">
        <v>0</v>
      </c>
      <c r="CV932">
        <v>2</v>
      </c>
      <c r="CW932">
        <v>0</v>
      </c>
      <c r="CX932">
        <v>5</v>
      </c>
      <c r="CY932">
        <v>7</v>
      </c>
      <c r="CZ932" t="s">
        <v>131</v>
      </c>
      <c r="DA932">
        <v>116</v>
      </c>
      <c r="DB932">
        <v>0</v>
      </c>
      <c r="DC932" t="s">
        <v>132</v>
      </c>
      <c r="DD932" t="s">
        <v>133</v>
      </c>
      <c r="DG932">
        <v>14683780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1</v>
      </c>
      <c r="DQ932">
        <v>0</v>
      </c>
      <c r="DR932">
        <v>0</v>
      </c>
      <c r="DS932">
        <v>0</v>
      </c>
    </row>
    <row r="933" spans="1:123" x14ac:dyDescent="0.25">
      <c r="A933" t="str">
        <f>"11/29/2023 20:26:11.524"</f>
        <v>11/29/2023 20:26:11.524</v>
      </c>
      <c r="C933" t="str">
        <f t="shared" si="109"/>
        <v>FFDF53C0</v>
      </c>
      <c r="D933" t="s">
        <v>164</v>
      </c>
      <c r="E933">
        <v>24</v>
      </c>
      <c r="F933">
        <v>2024</v>
      </c>
      <c r="G933" t="s">
        <v>165</v>
      </c>
      <c r="J933" t="s">
        <v>166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>"20:26:11.234"</f>
        <v>20:26:11.234</v>
      </c>
      <c r="T933" t="str">
        <f>"20:26:10.634"</f>
        <v>20:26:10.634</v>
      </c>
      <c r="U933" t="str">
        <f t="shared" si="107"/>
        <v>AA0632</v>
      </c>
      <c r="V933">
        <v>0</v>
      </c>
      <c r="W933">
        <v>0</v>
      </c>
      <c r="X933">
        <v>2</v>
      </c>
      <c r="Y933">
        <v>0</v>
      </c>
      <c r="AA933">
        <v>0</v>
      </c>
      <c r="AB933">
        <v>9</v>
      </c>
      <c r="AC933">
        <v>3</v>
      </c>
      <c r="AD933">
        <v>0</v>
      </c>
      <c r="AE933">
        <v>10</v>
      </c>
      <c r="AF933" t="s">
        <v>126</v>
      </c>
      <c r="AG933">
        <v>0</v>
      </c>
      <c r="AH933">
        <v>0</v>
      </c>
      <c r="AI933">
        <v>2</v>
      </c>
      <c r="AJ933">
        <v>0</v>
      </c>
      <c r="AK933" t="s">
        <v>589</v>
      </c>
      <c r="AL933">
        <v>31.922965000000001</v>
      </c>
      <c r="AM933" t="s">
        <v>592</v>
      </c>
      <c r="AN933">
        <v>-100.98062</v>
      </c>
      <c r="AQ933" t="s">
        <v>129</v>
      </c>
      <c r="AR933">
        <v>99</v>
      </c>
      <c r="AS933">
        <v>1</v>
      </c>
      <c r="AT933">
        <v>-128</v>
      </c>
      <c r="BB933" t="str">
        <f t="shared" si="108"/>
        <v>1200</v>
      </c>
      <c r="BC933">
        <v>1</v>
      </c>
      <c r="BD933" t="str">
        <f t="shared" si="110"/>
        <v xml:space="preserve">N745MB  </v>
      </c>
      <c r="BE933">
        <v>1</v>
      </c>
      <c r="BG933">
        <v>0</v>
      </c>
      <c r="BH933">
        <v>0</v>
      </c>
      <c r="BI933">
        <v>0</v>
      </c>
      <c r="BL933" t="s">
        <v>130</v>
      </c>
      <c r="BM933">
        <v>1</v>
      </c>
      <c r="BN933">
        <v>0</v>
      </c>
      <c r="BO933">
        <v>0</v>
      </c>
      <c r="BP933">
        <v>0</v>
      </c>
      <c r="BT933">
        <v>0</v>
      </c>
      <c r="BU933">
        <v>0</v>
      </c>
      <c r="CE933" t="str">
        <f>"20:26:11.239"</f>
        <v>20:26:11.239</v>
      </c>
      <c r="CF933">
        <v>239461491</v>
      </c>
      <c r="CS933">
        <v>0</v>
      </c>
      <c r="CT933">
        <v>2</v>
      </c>
      <c r="CU933">
        <v>0</v>
      </c>
      <c r="CV933">
        <v>2</v>
      </c>
      <c r="CW933">
        <v>0</v>
      </c>
      <c r="CX933">
        <v>2</v>
      </c>
      <c r="CY933">
        <v>7</v>
      </c>
      <c r="CZ933" t="s">
        <v>131</v>
      </c>
      <c r="DA933">
        <v>483</v>
      </c>
      <c r="DB933">
        <v>1</v>
      </c>
      <c r="DC933" t="s">
        <v>169</v>
      </c>
      <c r="DD933" t="s">
        <v>170</v>
      </c>
      <c r="DG933">
        <v>7378342</v>
      </c>
      <c r="DI933">
        <v>0</v>
      </c>
      <c r="DJ933">
        <v>0</v>
      </c>
      <c r="DK933">
        <v>1</v>
      </c>
      <c r="DL933">
        <v>0</v>
      </c>
      <c r="DM933">
        <v>0</v>
      </c>
      <c r="DN933">
        <v>0</v>
      </c>
      <c r="DO933">
        <v>0</v>
      </c>
      <c r="DP933">
        <v>1</v>
      </c>
      <c r="DQ933">
        <v>0</v>
      </c>
      <c r="DR933">
        <v>0</v>
      </c>
      <c r="DS933">
        <v>0</v>
      </c>
    </row>
    <row r="934" spans="1:123" x14ac:dyDescent="0.25">
      <c r="A934" t="str">
        <f>"11/29/2023 20:26:11.571"</f>
        <v>11/29/2023 20:26:11.571</v>
      </c>
      <c r="C934" t="str">
        <f t="shared" si="109"/>
        <v>FFDF53C0</v>
      </c>
      <c r="D934" t="s">
        <v>123</v>
      </c>
      <c r="E934">
        <v>14</v>
      </c>
      <c r="F934">
        <v>1014</v>
      </c>
      <c r="G934" t="s">
        <v>124</v>
      </c>
      <c r="J934" t="s">
        <v>125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>"20:26:11.234"</f>
        <v>20:26:11.234</v>
      </c>
      <c r="T934" t="str">
        <f>"20:26:11.234"</f>
        <v>20:26:11.234</v>
      </c>
      <c r="U934" t="str">
        <f t="shared" si="107"/>
        <v>AA0632</v>
      </c>
      <c r="V934">
        <v>0</v>
      </c>
      <c r="W934">
        <v>0</v>
      </c>
      <c r="X934">
        <v>2</v>
      </c>
      <c r="Y934">
        <v>0</v>
      </c>
      <c r="AA934">
        <v>0</v>
      </c>
      <c r="AB934">
        <v>9</v>
      </c>
      <c r="AC934">
        <v>3</v>
      </c>
      <c r="AD934">
        <v>0</v>
      </c>
      <c r="AE934">
        <v>10</v>
      </c>
      <c r="AF934" t="s">
        <v>126</v>
      </c>
      <c r="AG934">
        <v>0</v>
      </c>
      <c r="AH934">
        <v>0</v>
      </c>
      <c r="AI934">
        <v>2</v>
      </c>
      <c r="AJ934">
        <v>0</v>
      </c>
      <c r="AK934" t="s">
        <v>589</v>
      </c>
      <c r="AL934">
        <v>31.922965000000001</v>
      </c>
      <c r="AM934" t="s">
        <v>592</v>
      </c>
      <c r="AN934">
        <v>-100.98062</v>
      </c>
      <c r="AQ934" t="s">
        <v>129</v>
      </c>
      <c r="AR934">
        <v>99</v>
      </c>
      <c r="AS934">
        <v>1</v>
      </c>
      <c r="AT934">
        <v>-128</v>
      </c>
      <c r="BB934" t="str">
        <f t="shared" si="108"/>
        <v>1200</v>
      </c>
      <c r="BC934">
        <v>1</v>
      </c>
      <c r="BD934" t="str">
        <f t="shared" si="110"/>
        <v xml:space="preserve">N745MB  </v>
      </c>
      <c r="BE934">
        <v>1</v>
      </c>
      <c r="BG934">
        <v>0</v>
      </c>
      <c r="BH934">
        <v>0</v>
      </c>
      <c r="BI934">
        <v>0</v>
      </c>
      <c r="BL934" t="s">
        <v>130</v>
      </c>
      <c r="BM934">
        <v>1</v>
      </c>
      <c r="BN934">
        <v>0</v>
      </c>
      <c r="BO934">
        <v>0</v>
      </c>
      <c r="BP934">
        <v>0</v>
      </c>
      <c r="BT934">
        <v>0</v>
      </c>
      <c r="BU934">
        <v>0</v>
      </c>
      <c r="CE934" t="str">
        <f>"20:26:11.239"</f>
        <v>20:26:11.239</v>
      </c>
      <c r="CF934">
        <v>239456113</v>
      </c>
      <c r="CS934">
        <v>0</v>
      </c>
      <c r="CT934">
        <v>2</v>
      </c>
      <c r="CU934">
        <v>0</v>
      </c>
      <c r="CV934">
        <v>2</v>
      </c>
      <c r="CW934">
        <v>0</v>
      </c>
      <c r="CX934">
        <v>5</v>
      </c>
      <c r="CY934">
        <v>7</v>
      </c>
      <c r="CZ934" t="s">
        <v>131</v>
      </c>
      <c r="DA934">
        <v>116</v>
      </c>
      <c r="DB934">
        <v>0</v>
      </c>
      <c r="DC934" t="s">
        <v>132</v>
      </c>
      <c r="DD934" t="s">
        <v>133</v>
      </c>
      <c r="DG934">
        <v>14683780</v>
      </c>
      <c r="DI934">
        <v>0</v>
      </c>
      <c r="DJ934">
        <v>0</v>
      </c>
      <c r="DK934">
        <v>1</v>
      </c>
      <c r="DL934">
        <v>0</v>
      </c>
      <c r="DM934">
        <v>0</v>
      </c>
      <c r="DN934">
        <v>0</v>
      </c>
      <c r="DO934">
        <v>0</v>
      </c>
      <c r="DP934">
        <v>1</v>
      </c>
      <c r="DQ934">
        <v>0</v>
      </c>
      <c r="DR934">
        <v>0</v>
      </c>
      <c r="DS934">
        <v>0</v>
      </c>
    </row>
    <row r="935" spans="1:123" x14ac:dyDescent="0.25">
      <c r="A935" t="str">
        <f>"11/29/2023 20:26:11.571"</f>
        <v>11/29/2023 20:26:11.571</v>
      </c>
      <c r="C935" t="str">
        <f t="shared" si="109"/>
        <v>FFDF53C0</v>
      </c>
      <c r="D935" t="s">
        <v>123</v>
      </c>
      <c r="E935">
        <v>1</v>
      </c>
      <c r="F935">
        <v>1001</v>
      </c>
      <c r="G935" t="s">
        <v>134</v>
      </c>
      <c r="J935" t="s">
        <v>125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>"20:26:11.234"</f>
        <v>20:26:11.234</v>
      </c>
      <c r="T935" t="str">
        <f>"20:26:11.234"</f>
        <v>20:26:11.234</v>
      </c>
      <c r="U935" t="str">
        <f t="shared" si="107"/>
        <v>AA0632</v>
      </c>
      <c r="V935">
        <v>0</v>
      </c>
      <c r="W935">
        <v>0</v>
      </c>
      <c r="X935">
        <v>2</v>
      </c>
      <c r="Y935">
        <v>0</v>
      </c>
      <c r="AA935">
        <v>0</v>
      </c>
      <c r="AB935">
        <v>9</v>
      </c>
      <c r="AC935">
        <v>3</v>
      </c>
      <c r="AD935">
        <v>0</v>
      </c>
      <c r="AE935">
        <v>10</v>
      </c>
      <c r="AF935" t="s">
        <v>126</v>
      </c>
      <c r="AG935">
        <v>0</v>
      </c>
      <c r="AH935">
        <v>0</v>
      </c>
      <c r="AI935">
        <v>2</v>
      </c>
      <c r="AJ935">
        <v>0</v>
      </c>
      <c r="AK935" t="s">
        <v>589</v>
      </c>
      <c r="AL935">
        <v>31.922965000000001</v>
      </c>
      <c r="AM935" t="s">
        <v>592</v>
      </c>
      <c r="AN935">
        <v>-100.98062</v>
      </c>
      <c r="AQ935" t="s">
        <v>129</v>
      </c>
      <c r="AR935">
        <v>99</v>
      </c>
      <c r="AS935">
        <v>1</v>
      </c>
      <c r="AT935">
        <v>-128</v>
      </c>
      <c r="BB935" t="str">
        <f t="shared" si="108"/>
        <v>1200</v>
      </c>
      <c r="BC935">
        <v>1</v>
      </c>
      <c r="BD935" t="str">
        <f t="shared" si="110"/>
        <v xml:space="preserve">N745MB  </v>
      </c>
      <c r="BE935">
        <v>1</v>
      </c>
      <c r="BG935">
        <v>0</v>
      </c>
      <c r="BH935">
        <v>0</v>
      </c>
      <c r="BI935">
        <v>0</v>
      </c>
      <c r="BL935" t="s">
        <v>130</v>
      </c>
      <c r="BM935">
        <v>1</v>
      </c>
      <c r="BN935">
        <v>0</v>
      </c>
      <c r="BO935">
        <v>0</v>
      </c>
      <c r="BP935">
        <v>0</v>
      </c>
      <c r="BT935">
        <v>0</v>
      </c>
      <c r="BU935">
        <v>0</v>
      </c>
      <c r="CE935" t="str">
        <f>"20:26:11.239"</f>
        <v>20:26:11.239</v>
      </c>
      <c r="CF935">
        <v>239456113</v>
      </c>
      <c r="CS935">
        <v>0</v>
      </c>
      <c r="CT935">
        <v>2</v>
      </c>
      <c r="CU935">
        <v>0</v>
      </c>
      <c r="CV935">
        <v>2</v>
      </c>
      <c r="CW935">
        <v>0</v>
      </c>
      <c r="CX935">
        <v>5</v>
      </c>
      <c r="CY935">
        <v>7</v>
      </c>
      <c r="CZ935" t="s">
        <v>131</v>
      </c>
      <c r="DA935">
        <v>116</v>
      </c>
      <c r="DB935">
        <v>0</v>
      </c>
      <c r="DC935" t="s">
        <v>132</v>
      </c>
      <c r="DD935" t="s">
        <v>133</v>
      </c>
      <c r="DG935">
        <v>14683780</v>
      </c>
      <c r="DI935">
        <v>0</v>
      </c>
      <c r="DJ935">
        <v>0</v>
      </c>
      <c r="DK935">
        <v>1</v>
      </c>
      <c r="DL935">
        <v>0</v>
      </c>
      <c r="DM935">
        <v>0</v>
      </c>
      <c r="DN935">
        <v>0</v>
      </c>
      <c r="DO935">
        <v>0</v>
      </c>
      <c r="DP935">
        <v>1</v>
      </c>
      <c r="DQ935">
        <v>0</v>
      </c>
      <c r="DR935">
        <v>0</v>
      </c>
      <c r="DS935">
        <v>0</v>
      </c>
    </row>
    <row r="936" spans="1:123" x14ac:dyDescent="0.25">
      <c r="A936" t="str">
        <f>"11/29/2023 20:26:11.571"</f>
        <v>11/29/2023 20:26:11.571</v>
      </c>
      <c r="C936" t="str">
        <f t="shared" si="109"/>
        <v>FFDF53C0</v>
      </c>
      <c r="D936" t="s">
        <v>138</v>
      </c>
      <c r="E936">
        <v>3</v>
      </c>
      <c r="H936">
        <v>160</v>
      </c>
      <c r="I936" t="s">
        <v>124</v>
      </c>
      <c r="J936" t="s">
        <v>139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>"20:26:11.234"</f>
        <v>20:26:11.234</v>
      </c>
      <c r="T936" t="str">
        <f>"20:26:11.234"</f>
        <v>20:26:11.234</v>
      </c>
      <c r="U936" t="str">
        <f t="shared" si="107"/>
        <v>AA0632</v>
      </c>
      <c r="V936">
        <v>0</v>
      </c>
      <c r="W936">
        <v>0</v>
      </c>
      <c r="X936">
        <v>2</v>
      </c>
      <c r="Y936">
        <v>0</v>
      </c>
      <c r="AA936">
        <v>0</v>
      </c>
      <c r="AB936">
        <v>9</v>
      </c>
      <c r="AC936">
        <v>3</v>
      </c>
      <c r="AD936">
        <v>0</v>
      </c>
      <c r="AE936">
        <v>10</v>
      </c>
      <c r="AF936" t="s">
        <v>126</v>
      </c>
      <c r="AG936">
        <v>0</v>
      </c>
      <c r="AH936">
        <v>0</v>
      </c>
      <c r="AI936">
        <v>2</v>
      </c>
      <c r="AJ936">
        <v>0</v>
      </c>
      <c r="AK936" t="s">
        <v>589</v>
      </c>
      <c r="AL936">
        <v>31.922965000000001</v>
      </c>
      <c r="AM936" t="s">
        <v>592</v>
      </c>
      <c r="AN936">
        <v>-100.98062</v>
      </c>
      <c r="AQ936" t="s">
        <v>129</v>
      </c>
      <c r="AR936">
        <v>99</v>
      </c>
      <c r="AS936">
        <v>1</v>
      </c>
      <c r="AT936">
        <v>-128</v>
      </c>
      <c r="BB936" t="str">
        <f t="shared" si="108"/>
        <v>1200</v>
      </c>
      <c r="BC936">
        <v>1</v>
      </c>
      <c r="BD936" t="str">
        <f t="shared" si="110"/>
        <v xml:space="preserve">N745MB  </v>
      </c>
      <c r="BE936">
        <v>1</v>
      </c>
      <c r="BG936">
        <v>0</v>
      </c>
      <c r="BH936">
        <v>0</v>
      </c>
      <c r="BI936">
        <v>0</v>
      </c>
      <c r="BL936" t="s">
        <v>130</v>
      </c>
      <c r="BM936">
        <v>1</v>
      </c>
      <c r="BN936">
        <v>0</v>
      </c>
      <c r="BO936">
        <v>0</v>
      </c>
      <c r="BP936">
        <v>0</v>
      </c>
      <c r="BT936">
        <v>0</v>
      </c>
      <c r="BU936">
        <v>0</v>
      </c>
      <c r="CE936" t="str">
        <f>"20:26:11.239"</f>
        <v>20:26:11.239</v>
      </c>
      <c r="CF936">
        <v>239456113</v>
      </c>
      <c r="CS936">
        <v>0</v>
      </c>
      <c r="CT936">
        <v>2</v>
      </c>
      <c r="CU936">
        <v>0</v>
      </c>
      <c r="CV936">
        <v>2</v>
      </c>
      <c r="CW936">
        <v>0</v>
      </c>
      <c r="CX936">
        <v>5</v>
      </c>
      <c r="CY936">
        <v>7</v>
      </c>
      <c r="CZ936" t="s">
        <v>131</v>
      </c>
      <c r="DA936">
        <v>116</v>
      </c>
      <c r="DB936">
        <v>0</v>
      </c>
      <c r="DC936" t="s">
        <v>132</v>
      </c>
      <c r="DD936" t="s">
        <v>133</v>
      </c>
      <c r="DG936">
        <v>14683780</v>
      </c>
      <c r="DI936">
        <v>0</v>
      </c>
      <c r="DJ936">
        <v>0</v>
      </c>
      <c r="DK936">
        <v>1</v>
      </c>
      <c r="DL936">
        <v>0</v>
      </c>
      <c r="DM936">
        <v>0</v>
      </c>
      <c r="DN936">
        <v>0</v>
      </c>
      <c r="DO936">
        <v>0</v>
      </c>
      <c r="DP936">
        <v>1</v>
      </c>
      <c r="DQ936">
        <v>0</v>
      </c>
      <c r="DR936">
        <v>0</v>
      </c>
      <c r="DS936">
        <v>0</v>
      </c>
    </row>
    <row r="937" spans="1:123" x14ac:dyDescent="0.25">
      <c r="A937" t="str">
        <f>"11/29/2023 20:26:12.962"</f>
        <v>11/29/2023 20:26:12.962</v>
      </c>
      <c r="C937" t="str">
        <f t="shared" si="109"/>
        <v>FFDF53C0</v>
      </c>
      <c r="D937" t="s">
        <v>135</v>
      </c>
      <c r="E937">
        <v>31</v>
      </c>
      <c r="H937">
        <v>285</v>
      </c>
      <c r="I937" t="s">
        <v>136</v>
      </c>
      <c r="J937" t="s">
        <v>137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 t="shared" ref="S937:T940" si="112">"20:26:12.672"</f>
        <v>20:26:12.672</v>
      </c>
      <c r="T937" t="str">
        <f t="shared" si="112"/>
        <v>20:26:12.672</v>
      </c>
      <c r="U937" t="str">
        <f t="shared" si="107"/>
        <v>AA0632</v>
      </c>
      <c r="V937">
        <v>0</v>
      </c>
      <c r="W937">
        <v>0</v>
      </c>
      <c r="X937">
        <v>2</v>
      </c>
      <c r="Y937">
        <v>0</v>
      </c>
      <c r="AA937">
        <v>0</v>
      </c>
      <c r="AB937">
        <v>9</v>
      </c>
      <c r="AC937">
        <v>3</v>
      </c>
      <c r="AD937">
        <v>0</v>
      </c>
      <c r="AE937">
        <v>10</v>
      </c>
      <c r="AF937" t="s">
        <v>126</v>
      </c>
      <c r="AG937">
        <v>0</v>
      </c>
      <c r="AH937">
        <v>0</v>
      </c>
      <c r="AI937">
        <v>2</v>
      </c>
      <c r="AJ937">
        <v>0</v>
      </c>
      <c r="AK937" t="s">
        <v>589</v>
      </c>
      <c r="AL937">
        <v>31.922965000000001</v>
      </c>
      <c r="AM937" t="s">
        <v>593</v>
      </c>
      <c r="AN937">
        <v>-100.97989099999999</v>
      </c>
      <c r="AQ937" t="s">
        <v>129</v>
      </c>
      <c r="AR937">
        <v>100</v>
      </c>
      <c r="AS937">
        <v>2</v>
      </c>
      <c r="AT937">
        <v>-192</v>
      </c>
      <c r="BB937" t="str">
        <f t="shared" si="108"/>
        <v>1200</v>
      </c>
      <c r="BC937">
        <v>1</v>
      </c>
      <c r="BD937" t="str">
        <f t="shared" si="110"/>
        <v xml:space="preserve">N745MB  </v>
      </c>
      <c r="BE937">
        <v>1</v>
      </c>
      <c r="BG937">
        <v>0</v>
      </c>
      <c r="BH937">
        <v>0</v>
      </c>
      <c r="BI937">
        <v>0</v>
      </c>
      <c r="BL937" t="s">
        <v>130</v>
      </c>
      <c r="BM937">
        <v>1</v>
      </c>
      <c r="BN937">
        <v>0</v>
      </c>
      <c r="BO937">
        <v>0</v>
      </c>
      <c r="BP937">
        <v>0</v>
      </c>
      <c r="BT937">
        <v>0</v>
      </c>
      <c r="BU937">
        <v>0</v>
      </c>
      <c r="CE937" t="str">
        <f>"20:26:12.679"</f>
        <v>20:26:12.679</v>
      </c>
      <c r="CF937">
        <v>679359619</v>
      </c>
      <c r="CS937">
        <v>0</v>
      </c>
      <c r="CT937">
        <v>2</v>
      </c>
      <c r="CU937">
        <v>0</v>
      </c>
      <c r="CV937">
        <v>2</v>
      </c>
      <c r="CW937">
        <v>0</v>
      </c>
      <c r="CX937">
        <v>5</v>
      </c>
      <c r="CY937">
        <v>7</v>
      </c>
      <c r="CZ937" t="s">
        <v>131</v>
      </c>
      <c r="DA937">
        <v>116</v>
      </c>
      <c r="DB937">
        <v>3</v>
      </c>
      <c r="DC937" t="s">
        <v>132</v>
      </c>
      <c r="DD937" t="s">
        <v>133</v>
      </c>
      <c r="DG937">
        <v>8420877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1</v>
      </c>
      <c r="DQ937">
        <v>0</v>
      </c>
      <c r="DR937">
        <v>0</v>
      </c>
      <c r="DS937">
        <v>0</v>
      </c>
    </row>
    <row r="938" spans="1:123" x14ac:dyDescent="0.25">
      <c r="A938" t="str">
        <f>"11/29/2023 20:26:12.962"</f>
        <v>11/29/2023 20:26:12.962</v>
      </c>
      <c r="C938" t="str">
        <f t="shared" si="109"/>
        <v>FFDF53C0</v>
      </c>
      <c r="D938" t="s">
        <v>123</v>
      </c>
      <c r="E938">
        <v>1</v>
      </c>
      <c r="F938">
        <v>1001</v>
      </c>
      <c r="G938" t="s">
        <v>134</v>
      </c>
      <c r="J938" t="s">
        <v>125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 t="shared" si="112"/>
        <v>20:26:12.672</v>
      </c>
      <c r="T938" t="str">
        <f t="shared" si="112"/>
        <v>20:26:12.672</v>
      </c>
      <c r="U938" t="str">
        <f t="shared" si="107"/>
        <v>AA0632</v>
      </c>
      <c r="V938">
        <v>0</v>
      </c>
      <c r="W938">
        <v>0</v>
      </c>
      <c r="X938">
        <v>2</v>
      </c>
      <c r="Y938">
        <v>0</v>
      </c>
      <c r="AA938">
        <v>0</v>
      </c>
      <c r="AB938">
        <v>9</v>
      </c>
      <c r="AC938">
        <v>3</v>
      </c>
      <c r="AD938">
        <v>0</v>
      </c>
      <c r="AE938">
        <v>10</v>
      </c>
      <c r="AF938" t="s">
        <v>126</v>
      </c>
      <c r="AG938">
        <v>0</v>
      </c>
      <c r="AH938">
        <v>0</v>
      </c>
      <c r="AI938">
        <v>2</v>
      </c>
      <c r="AJ938">
        <v>0</v>
      </c>
      <c r="AK938" t="s">
        <v>589</v>
      </c>
      <c r="AL938">
        <v>31.922965000000001</v>
      </c>
      <c r="AM938" t="s">
        <v>593</v>
      </c>
      <c r="AN938">
        <v>-100.97989099999999</v>
      </c>
      <c r="AQ938" t="s">
        <v>129</v>
      </c>
      <c r="AR938">
        <v>100</v>
      </c>
      <c r="AS938">
        <v>2</v>
      </c>
      <c r="AT938">
        <v>-192</v>
      </c>
      <c r="BB938" t="str">
        <f t="shared" si="108"/>
        <v>1200</v>
      </c>
      <c r="BC938">
        <v>1</v>
      </c>
      <c r="BD938" t="str">
        <f t="shared" si="110"/>
        <v xml:space="preserve">N745MB  </v>
      </c>
      <c r="BE938">
        <v>1</v>
      </c>
      <c r="BG938">
        <v>0</v>
      </c>
      <c r="BH938">
        <v>0</v>
      </c>
      <c r="BI938">
        <v>0</v>
      </c>
      <c r="BL938" t="s">
        <v>130</v>
      </c>
      <c r="BM938">
        <v>1</v>
      </c>
      <c r="BN938">
        <v>0</v>
      </c>
      <c r="BO938">
        <v>0</v>
      </c>
      <c r="BP938">
        <v>0</v>
      </c>
      <c r="BT938">
        <v>0</v>
      </c>
      <c r="BU938">
        <v>0</v>
      </c>
      <c r="CE938" t="str">
        <f>"20:26:12.679"</f>
        <v>20:26:12.679</v>
      </c>
      <c r="CF938">
        <v>679359619</v>
      </c>
      <c r="CS938">
        <v>0</v>
      </c>
      <c r="CT938">
        <v>2</v>
      </c>
      <c r="CU938">
        <v>0</v>
      </c>
      <c r="CV938">
        <v>2</v>
      </c>
      <c r="CW938">
        <v>0</v>
      </c>
      <c r="CX938">
        <v>5</v>
      </c>
      <c r="CY938">
        <v>7</v>
      </c>
      <c r="CZ938" t="s">
        <v>131</v>
      </c>
      <c r="DA938">
        <v>116</v>
      </c>
      <c r="DB938">
        <v>3</v>
      </c>
      <c r="DC938" t="s">
        <v>132</v>
      </c>
      <c r="DD938" t="s">
        <v>133</v>
      </c>
      <c r="DG938">
        <v>8420877</v>
      </c>
      <c r="DI938">
        <v>0</v>
      </c>
      <c r="DJ938">
        <v>0</v>
      </c>
      <c r="DK938">
        <v>1</v>
      </c>
      <c r="DL938">
        <v>0</v>
      </c>
      <c r="DM938">
        <v>0</v>
      </c>
      <c r="DN938">
        <v>0</v>
      </c>
      <c r="DO938">
        <v>0</v>
      </c>
      <c r="DP938">
        <v>1</v>
      </c>
      <c r="DQ938">
        <v>0</v>
      </c>
      <c r="DR938">
        <v>0</v>
      </c>
      <c r="DS938">
        <v>0</v>
      </c>
    </row>
    <row r="939" spans="1:123" x14ac:dyDescent="0.25">
      <c r="A939" t="str">
        <f>"11/29/2023 20:26:12.962"</f>
        <v>11/29/2023 20:26:12.962</v>
      </c>
      <c r="C939" t="str">
        <f t="shared" si="109"/>
        <v>FFDF53C0</v>
      </c>
      <c r="D939" t="s">
        <v>138</v>
      </c>
      <c r="E939">
        <v>3</v>
      </c>
      <c r="H939">
        <v>160</v>
      </c>
      <c r="I939" t="s">
        <v>124</v>
      </c>
      <c r="J939" t="s">
        <v>139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 t="shared" si="112"/>
        <v>20:26:12.672</v>
      </c>
      <c r="T939" t="str">
        <f t="shared" si="112"/>
        <v>20:26:12.672</v>
      </c>
      <c r="U939" t="str">
        <f t="shared" si="107"/>
        <v>AA0632</v>
      </c>
      <c r="V939">
        <v>0</v>
      </c>
      <c r="W939">
        <v>0</v>
      </c>
      <c r="X939">
        <v>2</v>
      </c>
      <c r="Y939">
        <v>0</v>
      </c>
      <c r="AA939">
        <v>0</v>
      </c>
      <c r="AB939">
        <v>9</v>
      </c>
      <c r="AC939">
        <v>3</v>
      </c>
      <c r="AD939">
        <v>0</v>
      </c>
      <c r="AE939">
        <v>10</v>
      </c>
      <c r="AF939" t="s">
        <v>126</v>
      </c>
      <c r="AG939">
        <v>0</v>
      </c>
      <c r="AH939">
        <v>0</v>
      </c>
      <c r="AI939">
        <v>2</v>
      </c>
      <c r="AJ939">
        <v>0</v>
      </c>
      <c r="AK939" t="s">
        <v>589</v>
      </c>
      <c r="AL939">
        <v>31.922965000000001</v>
      </c>
      <c r="AM939" t="s">
        <v>593</v>
      </c>
      <c r="AN939">
        <v>-100.97989099999999</v>
      </c>
      <c r="AQ939" t="s">
        <v>129</v>
      </c>
      <c r="AR939">
        <v>100</v>
      </c>
      <c r="AS939">
        <v>2</v>
      </c>
      <c r="AT939">
        <v>-192</v>
      </c>
      <c r="BB939" t="str">
        <f t="shared" si="108"/>
        <v>1200</v>
      </c>
      <c r="BC939">
        <v>1</v>
      </c>
      <c r="BD939" t="str">
        <f t="shared" si="110"/>
        <v xml:space="preserve">N745MB  </v>
      </c>
      <c r="BE939">
        <v>1</v>
      </c>
      <c r="BG939">
        <v>0</v>
      </c>
      <c r="BH939">
        <v>0</v>
      </c>
      <c r="BI939">
        <v>0</v>
      </c>
      <c r="BL939" t="s">
        <v>130</v>
      </c>
      <c r="BM939">
        <v>1</v>
      </c>
      <c r="BN939">
        <v>0</v>
      </c>
      <c r="BO939">
        <v>0</v>
      </c>
      <c r="BP939">
        <v>0</v>
      </c>
      <c r="BT939">
        <v>0</v>
      </c>
      <c r="BU939">
        <v>0</v>
      </c>
      <c r="CE939" t="str">
        <f>"20:26:12.679"</f>
        <v>20:26:12.679</v>
      </c>
      <c r="CF939">
        <v>679359619</v>
      </c>
      <c r="CS939">
        <v>0</v>
      </c>
      <c r="CT939">
        <v>2</v>
      </c>
      <c r="CU939">
        <v>0</v>
      </c>
      <c r="CV939">
        <v>2</v>
      </c>
      <c r="CW939">
        <v>0</v>
      </c>
      <c r="CX939">
        <v>5</v>
      </c>
      <c r="CY939">
        <v>7</v>
      </c>
      <c r="CZ939" t="s">
        <v>131</v>
      </c>
      <c r="DA939">
        <v>116</v>
      </c>
      <c r="DB939">
        <v>3</v>
      </c>
      <c r="DC939" t="s">
        <v>132</v>
      </c>
      <c r="DD939" t="s">
        <v>133</v>
      </c>
      <c r="DG939">
        <v>8420877</v>
      </c>
      <c r="DI939">
        <v>0</v>
      </c>
      <c r="DJ939">
        <v>0</v>
      </c>
      <c r="DK939">
        <v>1</v>
      </c>
      <c r="DL939">
        <v>0</v>
      </c>
      <c r="DM939">
        <v>0</v>
      </c>
      <c r="DN939">
        <v>0</v>
      </c>
      <c r="DO939">
        <v>0</v>
      </c>
      <c r="DP939">
        <v>1</v>
      </c>
      <c r="DQ939">
        <v>0</v>
      </c>
      <c r="DR939">
        <v>0</v>
      </c>
      <c r="DS939">
        <v>0</v>
      </c>
    </row>
    <row r="940" spans="1:123" x14ac:dyDescent="0.25">
      <c r="A940" t="str">
        <f>"11/29/2023 20:26:12.962"</f>
        <v>11/29/2023 20:26:12.962</v>
      </c>
      <c r="C940" t="str">
        <f t="shared" si="109"/>
        <v>FFDF53C0</v>
      </c>
      <c r="D940" t="s">
        <v>123</v>
      </c>
      <c r="E940">
        <v>14</v>
      </c>
      <c r="F940">
        <v>1014</v>
      </c>
      <c r="G940" t="s">
        <v>124</v>
      </c>
      <c r="J940" t="s">
        <v>125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 t="shared" si="112"/>
        <v>20:26:12.672</v>
      </c>
      <c r="T940" t="str">
        <f t="shared" si="112"/>
        <v>20:26:12.672</v>
      </c>
      <c r="U940" t="str">
        <f t="shared" si="107"/>
        <v>AA0632</v>
      </c>
      <c r="V940">
        <v>0</v>
      </c>
      <c r="W940">
        <v>0</v>
      </c>
      <c r="X940">
        <v>2</v>
      </c>
      <c r="Y940">
        <v>0</v>
      </c>
      <c r="AA940">
        <v>0</v>
      </c>
      <c r="AB940">
        <v>9</v>
      </c>
      <c r="AC940">
        <v>3</v>
      </c>
      <c r="AD940">
        <v>0</v>
      </c>
      <c r="AE940">
        <v>10</v>
      </c>
      <c r="AF940" t="s">
        <v>126</v>
      </c>
      <c r="AG940">
        <v>0</v>
      </c>
      <c r="AH940">
        <v>0</v>
      </c>
      <c r="AI940">
        <v>2</v>
      </c>
      <c r="AJ940">
        <v>0</v>
      </c>
      <c r="AK940" t="s">
        <v>589</v>
      </c>
      <c r="AL940">
        <v>31.922965000000001</v>
      </c>
      <c r="AM940" t="s">
        <v>593</v>
      </c>
      <c r="AN940">
        <v>-100.97989099999999</v>
      </c>
      <c r="AQ940" t="s">
        <v>129</v>
      </c>
      <c r="AR940">
        <v>100</v>
      </c>
      <c r="AS940">
        <v>2</v>
      </c>
      <c r="AT940">
        <v>-192</v>
      </c>
      <c r="BB940" t="str">
        <f t="shared" si="108"/>
        <v>1200</v>
      </c>
      <c r="BC940">
        <v>1</v>
      </c>
      <c r="BD940" t="str">
        <f t="shared" si="110"/>
        <v xml:space="preserve">N745MB  </v>
      </c>
      <c r="BE940">
        <v>1</v>
      </c>
      <c r="BG940">
        <v>0</v>
      </c>
      <c r="BH940">
        <v>0</v>
      </c>
      <c r="BI940">
        <v>0</v>
      </c>
      <c r="BL940" t="s">
        <v>130</v>
      </c>
      <c r="BM940">
        <v>1</v>
      </c>
      <c r="BN940">
        <v>0</v>
      </c>
      <c r="BO940">
        <v>0</v>
      </c>
      <c r="BP940">
        <v>0</v>
      </c>
      <c r="BT940">
        <v>0</v>
      </c>
      <c r="BU940">
        <v>0</v>
      </c>
      <c r="CE940" t="str">
        <f>"20:26:12.679"</f>
        <v>20:26:12.679</v>
      </c>
      <c r="CF940">
        <v>679359619</v>
      </c>
      <c r="CS940">
        <v>0</v>
      </c>
      <c r="CT940">
        <v>2</v>
      </c>
      <c r="CU940">
        <v>0</v>
      </c>
      <c r="CV940">
        <v>2</v>
      </c>
      <c r="CW940">
        <v>0</v>
      </c>
      <c r="CX940">
        <v>5</v>
      </c>
      <c r="CY940">
        <v>7</v>
      </c>
      <c r="CZ940" t="s">
        <v>131</v>
      </c>
      <c r="DA940">
        <v>116</v>
      </c>
      <c r="DB940">
        <v>3</v>
      </c>
      <c r="DC940" t="s">
        <v>132</v>
      </c>
      <c r="DD940" t="s">
        <v>133</v>
      </c>
      <c r="DG940">
        <v>8420877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1</v>
      </c>
      <c r="DQ940">
        <v>0</v>
      </c>
      <c r="DR940">
        <v>0</v>
      </c>
      <c r="DS940">
        <v>0</v>
      </c>
    </row>
    <row r="941" spans="1:123" x14ac:dyDescent="0.25">
      <c r="A941" t="str">
        <f>"11/29/2023 20:26:13.946"</f>
        <v>11/29/2023 20:26:13.946</v>
      </c>
      <c r="C941" t="str">
        <f t="shared" si="109"/>
        <v>FFDF53C0</v>
      </c>
      <c r="D941" t="s">
        <v>164</v>
      </c>
      <c r="E941">
        <v>24</v>
      </c>
      <c r="F941">
        <v>2024</v>
      </c>
      <c r="G941" t="s">
        <v>165</v>
      </c>
      <c r="J941" t="s">
        <v>166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>"20:26:13.656"</f>
        <v>20:26:13.656</v>
      </c>
      <c r="T941" t="str">
        <f>"20:26:12.756"</f>
        <v>20:26:12.756</v>
      </c>
      <c r="U941" t="str">
        <f t="shared" si="107"/>
        <v>AA0632</v>
      </c>
      <c r="V941">
        <v>0</v>
      </c>
      <c r="W941">
        <v>0</v>
      </c>
      <c r="X941">
        <v>2</v>
      </c>
      <c r="Y941">
        <v>0</v>
      </c>
      <c r="AA941">
        <v>0</v>
      </c>
      <c r="AB941">
        <v>9</v>
      </c>
      <c r="AC941">
        <v>3</v>
      </c>
      <c r="AD941">
        <v>0</v>
      </c>
      <c r="AE941">
        <v>10</v>
      </c>
      <c r="AF941" t="s">
        <v>126</v>
      </c>
      <c r="AG941">
        <v>0</v>
      </c>
      <c r="AH941">
        <v>0</v>
      </c>
      <c r="AI941">
        <v>2</v>
      </c>
      <c r="AJ941">
        <v>0</v>
      </c>
      <c r="AK941" t="s">
        <v>589</v>
      </c>
      <c r="AL941">
        <v>31.922965000000001</v>
      </c>
      <c r="AM941" t="s">
        <v>594</v>
      </c>
      <c r="AN941">
        <v>-100.979354</v>
      </c>
      <c r="AQ941" t="s">
        <v>129</v>
      </c>
      <c r="AR941">
        <v>100</v>
      </c>
      <c r="AS941">
        <v>2</v>
      </c>
      <c r="AT941">
        <v>-192</v>
      </c>
      <c r="BB941" t="str">
        <f t="shared" si="108"/>
        <v>1200</v>
      </c>
      <c r="BC941">
        <v>1</v>
      </c>
      <c r="BD941" t="str">
        <f t="shared" si="110"/>
        <v xml:space="preserve">N745MB  </v>
      </c>
      <c r="BE941">
        <v>1</v>
      </c>
      <c r="BG941">
        <v>0</v>
      </c>
      <c r="BH941">
        <v>0</v>
      </c>
      <c r="BI941">
        <v>0</v>
      </c>
      <c r="BL941" t="s">
        <v>130</v>
      </c>
      <c r="BM941">
        <v>1</v>
      </c>
      <c r="BN941">
        <v>0</v>
      </c>
      <c r="BO941">
        <v>0</v>
      </c>
      <c r="BP941">
        <v>0</v>
      </c>
      <c r="BT941">
        <v>0</v>
      </c>
      <c r="BU941">
        <v>0</v>
      </c>
      <c r="CE941" t="str">
        <f>"20:26:13.657"</f>
        <v>20:26:13.657</v>
      </c>
      <c r="CF941">
        <v>657303968</v>
      </c>
      <c r="CS941">
        <v>0</v>
      </c>
      <c r="CT941">
        <v>2</v>
      </c>
      <c r="CU941">
        <v>0</v>
      </c>
      <c r="CV941">
        <v>2</v>
      </c>
      <c r="CW941">
        <v>0</v>
      </c>
      <c r="CX941">
        <v>2</v>
      </c>
      <c r="CY941">
        <v>7</v>
      </c>
      <c r="CZ941" t="s">
        <v>131</v>
      </c>
      <c r="DA941">
        <v>483</v>
      </c>
      <c r="DB941">
        <v>1</v>
      </c>
      <c r="DC941" t="s">
        <v>169</v>
      </c>
      <c r="DD941" t="s">
        <v>170</v>
      </c>
      <c r="DG941">
        <v>7378671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1</v>
      </c>
      <c r="DQ941">
        <v>0</v>
      </c>
      <c r="DR941">
        <v>0</v>
      </c>
      <c r="DS941">
        <v>0</v>
      </c>
    </row>
    <row r="942" spans="1:123" x14ac:dyDescent="0.25">
      <c r="A942" t="str">
        <f>"11/29/2023 20:26:13.946"</f>
        <v>11/29/2023 20:26:13.946</v>
      </c>
      <c r="C942" t="str">
        <f t="shared" si="109"/>
        <v>FFDF53C0</v>
      </c>
      <c r="D942" t="s">
        <v>123</v>
      </c>
      <c r="E942">
        <v>14</v>
      </c>
      <c r="F942">
        <v>1014</v>
      </c>
      <c r="G942" t="s">
        <v>124</v>
      </c>
      <c r="J942" t="s">
        <v>125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>"20:26:13.656"</f>
        <v>20:26:13.656</v>
      </c>
      <c r="T942" t="str">
        <f>"20:26:12.756"</f>
        <v>20:26:12.756</v>
      </c>
      <c r="U942" t="str">
        <f t="shared" si="107"/>
        <v>AA0632</v>
      </c>
      <c r="V942">
        <v>0</v>
      </c>
      <c r="W942">
        <v>0</v>
      </c>
      <c r="X942">
        <v>2</v>
      </c>
      <c r="Y942">
        <v>0</v>
      </c>
      <c r="AA942">
        <v>0</v>
      </c>
      <c r="AB942">
        <v>9</v>
      </c>
      <c r="AC942">
        <v>3</v>
      </c>
      <c r="AD942">
        <v>0</v>
      </c>
      <c r="AE942">
        <v>10</v>
      </c>
      <c r="AF942" t="s">
        <v>126</v>
      </c>
      <c r="AG942">
        <v>0</v>
      </c>
      <c r="AH942">
        <v>0</v>
      </c>
      <c r="AI942">
        <v>2</v>
      </c>
      <c r="AJ942">
        <v>0</v>
      </c>
      <c r="AK942" t="s">
        <v>589</v>
      </c>
      <c r="AL942">
        <v>31.922965000000001</v>
      </c>
      <c r="AM942" t="s">
        <v>594</v>
      </c>
      <c r="AN942">
        <v>-100.979354</v>
      </c>
      <c r="AQ942" t="s">
        <v>129</v>
      </c>
      <c r="AR942">
        <v>100</v>
      </c>
      <c r="AS942">
        <v>2</v>
      </c>
      <c r="AT942">
        <v>-192</v>
      </c>
      <c r="BB942" t="str">
        <f t="shared" si="108"/>
        <v>1200</v>
      </c>
      <c r="BC942">
        <v>1</v>
      </c>
      <c r="BD942" t="str">
        <f t="shared" si="110"/>
        <v xml:space="preserve">N745MB  </v>
      </c>
      <c r="BE942">
        <v>1</v>
      </c>
      <c r="BG942">
        <v>0</v>
      </c>
      <c r="BH942">
        <v>0</v>
      </c>
      <c r="BI942">
        <v>0</v>
      </c>
      <c r="BL942" t="s">
        <v>130</v>
      </c>
      <c r="BM942">
        <v>1</v>
      </c>
      <c r="BN942">
        <v>0</v>
      </c>
      <c r="BO942">
        <v>0</v>
      </c>
      <c r="BP942">
        <v>0</v>
      </c>
      <c r="BT942">
        <v>0</v>
      </c>
      <c r="BU942">
        <v>0</v>
      </c>
      <c r="CE942" t="str">
        <f>"20:26:13.657"</f>
        <v>20:26:13.657</v>
      </c>
      <c r="CF942">
        <v>657303968</v>
      </c>
      <c r="CS942">
        <v>0</v>
      </c>
      <c r="CT942">
        <v>2</v>
      </c>
      <c r="CU942">
        <v>0</v>
      </c>
      <c r="CV942">
        <v>2</v>
      </c>
      <c r="CW942">
        <v>0</v>
      </c>
      <c r="CX942">
        <v>2</v>
      </c>
      <c r="CY942">
        <v>7</v>
      </c>
      <c r="CZ942" t="s">
        <v>131</v>
      </c>
      <c r="DA942">
        <v>483</v>
      </c>
      <c r="DB942">
        <v>1</v>
      </c>
      <c r="DC942" t="s">
        <v>169</v>
      </c>
      <c r="DD942" t="s">
        <v>170</v>
      </c>
      <c r="DG942">
        <v>7378671</v>
      </c>
      <c r="DI942">
        <v>0</v>
      </c>
      <c r="DJ942">
        <v>0</v>
      </c>
      <c r="DK942">
        <v>1</v>
      </c>
      <c r="DL942">
        <v>0</v>
      </c>
      <c r="DM942">
        <v>0</v>
      </c>
      <c r="DN942">
        <v>0</v>
      </c>
      <c r="DO942">
        <v>0</v>
      </c>
      <c r="DP942">
        <v>1</v>
      </c>
      <c r="DQ942">
        <v>0</v>
      </c>
      <c r="DR942">
        <v>0</v>
      </c>
      <c r="DS942">
        <v>0</v>
      </c>
    </row>
    <row r="943" spans="1:123" x14ac:dyDescent="0.25">
      <c r="A943" t="str">
        <f>"11/29/2023 20:26:13.946"</f>
        <v>11/29/2023 20:26:13.946</v>
      </c>
      <c r="C943" t="str">
        <f t="shared" si="109"/>
        <v>FFDF53C0</v>
      </c>
      <c r="D943" t="s">
        <v>138</v>
      </c>
      <c r="E943">
        <v>3</v>
      </c>
      <c r="H943">
        <v>160</v>
      </c>
      <c r="I943" t="s">
        <v>124</v>
      </c>
      <c r="J943" t="s">
        <v>139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>"20:26:13.656"</f>
        <v>20:26:13.656</v>
      </c>
      <c r="T943" t="str">
        <f>"20:26:12.756"</f>
        <v>20:26:12.756</v>
      </c>
      <c r="U943" t="str">
        <f t="shared" si="107"/>
        <v>AA0632</v>
      </c>
      <c r="V943">
        <v>0</v>
      </c>
      <c r="W943">
        <v>0</v>
      </c>
      <c r="X943">
        <v>2</v>
      </c>
      <c r="Y943">
        <v>0</v>
      </c>
      <c r="AA943">
        <v>0</v>
      </c>
      <c r="AB943">
        <v>9</v>
      </c>
      <c r="AC943">
        <v>3</v>
      </c>
      <c r="AD943">
        <v>0</v>
      </c>
      <c r="AE943">
        <v>10</v>
      </c>
      <c r="AF943" t="s">
        <v>126</v>
      </c>
      <c r="AG943">
        <v>0</v>
      </c>
      <c r="AH943">
        <v>0</v>
      </c>
      <c r="AI943">
        <v>2</v>
      </c>
      <c r="AJ943">
        <v>0</v>
      </c>
      <c r="AK943" t="s">
        <v>589</v>
      </c>
      <c r="AL943">
        <v>31.922965000000001</v>
      </c>
      <c r="AM943" t="s">
        <v>594</v>
      </c>
      <c r="AN943">
        <v>-100.979354</v>
      </c>
      <c r="AQ943" t="s">
        <v>129</v>
      </c>
      <c r="AR943">
        <v>100</v>
      </c>
      <c r="AS943">
        <v>2</v>
      </c>
      <c r="AT943">
        <v>-192</v>
      </c>
      <c r="BB943" t="str">
        <f t="shared" si="108"/>
        <v>1200</v>
      </c>
      <c r="BC943">
        <v>1</v>
      </c>
      <c r="BD943" t="str">
        <f t="shared" si="110"/>
        <v xml:space="preserve">N745MB  </v>
      </c>
      <c r="BE943">
        <v>1</v>
      </c>
      <c r="BG943">
        <v>0</v>
      </c>
      <c r="BH943">
        <v>0</v>
      </c>
      <c r="BI943">
        <v>0</v>
      </c>
      <c r="BL943" t="s">
        <v>130</v>
      </c>
      <c r="BM943">
        <v>1</v>
      </c>
      <c r="BN943">
        <v>0</v>
      </c>
      <c r="BO943">
        <v>0</v>
      </c>
      <c r="BP943">
        <v>0</v>
      </c>
      <c r="BT943">
        <v>0</v>
      </c>
      <c r="BU943">
        <v>0</v>
      </c>
      <c r="CE943" t="str">
        <f>"20:26:13.657"</f>
        <v>20:26:13.657</v>
      </c>
      <c r="CF943">
        <v>657303968</v>
      </c>
      <c r="CS943">
        <v>0</v>
      </c>
      <c r="CT943">
        <v>2</v>
      </c>
      <c r="CU943">
        <v>0</v>
      </c>
      <c r="CV943">
        <v>2</v>
      </c>
      <c r="CW943">
        <v>0</v>
      </c>
      <c r="CX943">
        <v>2</v>
      </c>
      <c r="CY943">
        <v>7</v>
      </c>
      <c r="CZ943" t="s">
        <v>131</v>
      </c>
      <c r="DA943">
        <v>483</v>
      </c>
      <c r="DB943">
        <v>1</v>
      </c>
      <c r="DC943" t="s">
        <v>169</v>
      </c>
      <c r="DD943" t="s">
        <v>170</v>
      </c>
      <c r="DG943">
        <v>7378671</v>
      </c>
      <c r="DI943">
        <v>0</v>
      </c>
      <c r="DJ943">
        <v>0</v>
      </c>
      <c r="DK943">
        <v>1</v>
      </c>
      <c r="DL943">
        <v>0</v>
      </c>
      <c r="DM943">
        <v>0</v>
      </c>
      <c r="DN943">
        <v>0</v>
      </c>
      <c r="DO943">
        <v>0</v>
      </c>
      <c r="DP943">
        <v>1</v>
      </c>
      <c r="DQ943">
        <v>0</v>
      </c>
      <c r="DR943">
        <v>0</v>
      </c>
      <c r="DS943">
        <v>0</v>
      </c>
    </row>
    <row r="944" spans="1:123" x14ac:dyDescent="0.25">
      <c r="A944" t="str">
        <f>"11/29/2023 20:26:16.212"</f>
        <v>11/29/2023 20:26:16.212</v>
      </c>
      <c r="C944" t="str">
        <f t="shared" si="109"/>
        <v>FFDF53C0</v>
      </c>
      <c r="D944" t="s">
        <v>135</v>
      </c>
      <c r="E944">
        <v>31</v>
      </c>
      <c r="H944">
        <v>285</v>
      </c>
      <c r="I944" t="s">
        <v>136</v>
      </c>
      <c r="J944" t="s">
        <v>137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>"20:26:15.820"</f>
        <v>20:26:15.820</v>
      </c>
      <c r="T944" t="str">
        <f>"20:26:15.620"</f>
        <v>20:26:15.620</v>
      </c>
      <c r="U944" t="str">
        <f t="shared" si="107"/>
        <v>AA0632</v>
      </c>
      <c r="V944">
        <v>0</v>
      </c>
      <c r="W944">
        <v>0</v>
      </c>
      <c r="X944">
        <v>2</v>
      </c>
      <c r="Y944">
        <v>0</v>
      </c>
      <c r="AA944">
        <v>0</v>
      </c>
      <c r="AB944">
        <v>9</v>
      </c>
      <c r="AC944">
        <v>3</v>
      </c>
      <c r="AD944">
        <v>0</v>
      </c>
      <c r="AE944">
        <v>10</v>
      </c>
      <c r="AF944" t="s">
        <v>126</v>
      </c>
      <c r="AG944">
        <v>0</v>
      </c>
      <c r="AH944">
        <v>0</v>
      </c>
      <c r="AI944">
        <v>2</v>
      </c>
      <c r="AJ944">
        <v>0</v>
      </c>
      <c r="AK944" t="s">
        <v>574</v>
      </c>
      <c r="AL944">
        <v>31.923029</v>
      </c>
      <c r="AM944" t="s">
        <v>595</v>
      </c>
      <c r="AN944">
        <v>-100.97815300000001</v>
      </c>
      <c r="AQ944" t="s">
        <v>129</v>
      </c>
      <c r="AR944">
        <v>100</v>
      </c>
      <c r="AS944">
        <v>1</v>
      </c>
      <c r="AT944">
        <v>-128</v>
      </c>
      <c r="BB944" t="str">
        <f t="shared" si="108"/>
        <v>1200</v>
      </c>
      <c r="BC944">
        <v>1</v>
      </c>
      <c r="BD944" t="str">
        <f t="shared" si="110"/>
        <v xml:space="preserve">N745MB  </v>
      </c>
      <c r="BE944">
        <v>1</v>
      </c>
      <c r="BG944">
        <v>0</v>
      </c>
      <c r="BH944">
        <v>0</v>
      </c>
      <c r="BI944">
        <v>0</v>
      </c>
      <c r="BL944" t="s">
        <v>130</v>
      </c>
      <c r="BM944">
        <v>1</v>
      </c>
      <c r="BN944">
        <v>0</v>
      </c>
      <c r="BO944">
        <v>0</v>
      </c>
      <c r="BP944">
        <v>0</v>
      </c>
      <c r="BT944">
        <v>0</v>
      </c>
      <c r="BU944">
        <v>0</v>
      </c>
      <c r="CE944" t="str">
        <f>"20:26:15.821"</f>
        <v>20:26:15.821</v>
      </c>
      <c r="CF944">
        <v>821149578</v>
      </c>
      <c r="CS944">
        <v>0</v>
      </c>
      <c r="CT944">
        <v>2</v>
      </c>
      <c r="CU944">
        <v>0</v>
      </c>
      <c r="CV944">
        <v>2</v>
      </c>
      <c r="CW944">
        <v>0</v>
      </c>
      <c r="CX944">
        <v>2</v>
      </c>
      <c r="CY944">
        <v>7</v>
      </c>
      <c r="CZ944" t="s">
        <v>131</v>
      </c>
      <c r="DA944">
        <v>116</v>
      </c>
      <c r="DB944">
        <v>3</v>
      </c>
      <c r="DC944" t="s">
        <v>132</v>
      </c>
      <c r="DD944" t="s">
        <v>133</v>
      </c>
      <c r="DG944">
        <v>8422606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1</v>
      </c>
      <c r="DQ944">
        <v>0</v>
      </c>
      <c r="DR944">
        <v>0</v>
      </c>
      <c r="DS944">
        <v>0</v>
      </c>
    </row>
    <row r="945" spans="1:123" x14ac:dyDescent="0.25">
      <c r="A945" t="str">
        <f>"11/29/2023 20:26:16.212"</f>
        <v>11/29/2023 20:26:16.212</v>
      </c>
      <c r="C945" t="str">
        <f t="shared" si="109"/>
        <v>FFDF53C0</v>
      </c>
      <c r="D945" t="s">
        <v>123</v>
      </c>
      <c r="E945">
        <v>14</v>
      </c>
      <c r="F945">
        <v>1014</v>
      </c>
      <c r="G945" t="s">
        <v>124</v>
      </c>
      <c r="J945" t="s">
        <v>125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>"20:26:15.820"</f>
        <v>20:26:15.820</v>
      </c>
      <c r="T945" t="str">
        <f>"20:26:15.620"</f>
        <v>20:26:15.620</v>
      </c>
      <c r="U945" t="str">
        <f t="shared" si="107"/>
        <v>AA0632</v>
      </c>
      <c r="V945">
        <v>0</v>
      </c>
      <c r="W945">
        <v>0</v>
      </c>
      <c r="X945">
        <v>2</v>
      </c>
      <c r="Y945">
        <v>0</v>
      </c>
      <c r="AA945">
        <v>0</v>
      </c>
      <c r="AB945">
        <v>9</v>
      </c>
      <c r="AC945">
        <v>3</v>
      </c>
      <c r="AD945">
        <v>0</v>
      </c>
      <c r="AE945">
        <v>10</v>
      </c>
      <c r="AF945" t="s">
        <v>126</v>
      </c>
      <c r="AG945">
        <v>0</v>
      </c>
      <c r="AH945">
        <v>0</v>
      </c>
      <c r="AI945">
        <v>2</v>
      </c>
      <c r="AJ945">
        <v>0</v>
      </c>
      <c r="AK945" t="s">
        <v>574</v>
      </c>
      <c r="AL945">
        <v>31.923029</v>
      </c>
      <c r="AM945" t="s">
        <v>595</v>
      </c>
      <c r="AN945">
        <v>-100.97815300000001</v>
      </c>
      <c r="AQ945" t="s">
        <v>129</v>
      </c>
      <c r="AR945">
        <v>100</v>
      </c>
      <c r="AS945">
        <v>1</v>
      </c>
      <c r="AT945">
        <v>-128</v>
      </c>
      <c r="BB945" t="str">
        <f t="shared" si="108"/>
        <v>1200</v>
      </c>
      <c r="BC945">
        <v>1</v>
      </c>
      <c r="BD945" t="str">
        <f t="shared" si="110"/>
        <v xml:space="preserve">N745MB  </v>
      </c>
      <c r="BE945">
        <v>1</v>
      </c>
      <c r="BG945">
        <v>0</v>
      </c>
      <c r="BH945">
        <v>0</v>
      </c>
      <c r="BI945">
        <v>0</v>
      </c>
      <c r="BL945" t="s">
        <v>130</v>
      </c>
      <c r="BM945">
        <v>1</v>
      </c>
      <c r="BN945">
        <v>0</v>
      </c>
      <c r="BO945">
        <v>0</v>
      </c>
      <c r="BP945">
        <v>0</v>
      </c>
      <c r="BT945">
        <v>0</v>
      </c>
      <c r="BU945">
        <v>0</v>
      </c>
      <c r="CE945" t="str">
        <f>"20:26:15.821"</f>
        <v>20:26:15.821</v>
      </c>
      <c r="CF945">
        <v>821149578</v>
      </c>
      <c r="CS945">
        <v>0</v>
      </c>
      <c r="CT945">
        <v>2</v>
      </c>
      <c r="CU945">
        <v>0</v>
      </c>
      <c r="CV945">
        <v>2</v>
      </c>
      <c r="CW945">
        <v>0</v>
      </c>
      <c r="CX945">
        <v>2</v>
      </c>
      <c r="CY945">
        <v>7</v>
      </c>
      <c r="CZ945" t="s">
        <v>131</v>
      </c>
      <c r="DA945">
        <v>116</v>
      </c>
      <c r="DB945">
        <v>3</v>
      </c>
      <c r="DC945" t="s">
        <v>132</v>
      </c>
      <c r="DD945" t="s">
        <v>133</v>
      </c>
      <c r="DG945">
        <v>8422606</v>
      </c>
      <c r="DI945">
        <v>0</v>
      </c>
      <c r="DJ945">
        <v>0</v>
      </c>
      <c r="DK945">
        <v>1</v>
      </c>
      <c r="DL945">
        <v>0</v>
      </c>
      <c r="DM945">
        <v>0</v>
      </c>
      <c r="DN945">
        <v>0</v>
      </c>
      <c r="DO945">
        <v>0</v>
      </c>
      <c r="DP945">
        <v>1</v>
      </c>
      <c r="DQ945">
        <v>0</v>
      </c>
      <c r="DR945">
        <v>0</v>
      </c>
      <c r="DS945">
        <v>0</v>
      </c>
    </row>
    <row r="946" spans="1:123" x14ac:dyDescent="0.25">
      <c r="A946" t="str">
        <f>"11/29/2023 20:26:16.274"</f>
        <v>11/29/2023 20:26:16.274</v>
      </c>
      <c r="C946" t="str">
        <f t="shared" si="109"/>
        <v>FFDF53C0</v>
      </c>
      <c r="D946" t="s">
        <v>138</v>
      </c>
      <c r="E946">
        <v>3</v>
      </c>
      <c r="H946">
        <v>160</v>
      </c>
      <c r="I946" t="s">
        <v>124</v>
      </c>
      <c r="J946" t="s">
        <v>139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>"20:26:15.820"</f>
        <v>20:26:15.820</v>
      </c>
      <c r="T946" t="str">
        <f>"20:26:15.620"</f>
        <v>20:26:15.620</v>
      </c>
      <c r="U946" t="str">
        <f t="shared" si="107"/>
        <v>AA0632</v>
      </c>
      <c r="V946">
        <v>0</v>
      </c>
      <c r="W946">
        <v>0</v>
      </c>
      <c r="X946">
        <v>2</v>
      </c>
      <c r="Y946">
        <v>0</v>
      </c>
      <c r="AA946">
        <v>0</v>
      </c>
      <c r="AB946">
        <v>9</v>
      </c>
      <c r="AC946">
        <v>3</v>
      </c>
      <c r="AD946">
        <v>0</v>
      </c>
      <c r="AE946">
        <v>10</v>
      </c>
      <c r="AF946" t="s">
        <v>126</v>
      </c>
      <c r="AG946">
        <v>0</v>
      </c>
      <c r="AH946">
        <v>0</v>
      </c>
      <c r="AI946">
        <v>2</v>
      </c>
      <c r="AJ946">
        <v>0</v>
      </c>
      <c r="AK946" t="s">
        <v>574</v>
      </c>
      <c r="AL946">
        <v>31.923029</v>
      </c>
      <c r="AM946" t="s">
        <v>595</v>
      </c>
      <c r="AN946">
        <v>-100.97815300000001</v>
      </c>
      <c r="AQ946" t="s">
        <v>129</v>
      </c>
      <c r="AR946">
        <v>100</v>
      </c>
      <c r="AS946">
        <v>1</v>
      </c>
      <c r="AT946">
        <v>-128</v>
      </c>
      <c r="BB946" t="str">
        <f t="shared" si="108"/>
        <v>1200</v>
      </c>
      <c r="BC946">
        <v>1</v>
      </c>
      <c r="BD946" t="str">
        <f t="shared" si="110"/>
        <v xml:space="preserve">N745MB  </v>
      </c>
      <c r="BE946">
        <v>1</v>
      </c>
      <c r="BG946">
        <v>0</v>
      </c>
      <c r="BH946">
        <v>0</v>
      </c>
      <c r="BI946">
        <v>0</v>
      </c>
      <c r="BL946" t="s">
        <v>130</v>
      </c>
      <c r="BM946">
        <v>1</v>
      </c>
      <c r="BN946">
        <v>0</v>
      </c>
      <c r="BO946">
        <v>0</v>
      </c>
      <c r="BP946">
        <v>0</v>
      </c>
      <c r="BT946">
        <v>0</v>
      </c>
      <c r="BU946">
        <v>0</v>
      </c>
      <c r="CE946" t="str">
        <f>"20:26:15.821"</f>
        <v>20:26:15.821</v>
      </c>
      <c r="CF946">
        <v>821149578</v>
      </c>
      <c r="CS946">
        <v>0</v>
      </c>
      <c r="CT946">
        <v>2</v>
      </c>
      <c r="CU946">
        <v>0</v>
      </c>
      <c r="CV946">
        <v>2</v>
      </c>
      <c r="CW946">
        <v>0</v>
      </c>
      <c r="CX946">
        <v>2</v>
      </c>
      <c r="CY946">
        <v>7</v>
      </c>
      <c r="CZ946" t="s">
        <v>131</v>
      </c>
      <c r="DA946">
        <v>116</v>
      </c>
      <c r="DB946">
        <v>3</v>
      </c>
      <c r="DC946" t="s">
        <v>132</v>
      </c>
      <c r="DD946" t="s">
        <v>133</v>
      </c>
      <c r="DG946">
        <v>8422606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1</v>
      </c>
      <c r="DQ946">
        <v>0</v>
      </c>
      <c r="DR946">
        <v>0</v>
      </c>
      <c r="DS946">
        <v>0</v>
      </c>
    </row>
    <row r="947" spans="1:123" x14ac:dyDescent="0.25">
      <c r="A947" t="str">
        <f>"11/29/2023 20:26:16.274"</f>
        <v>11/29/2023 20:26:16.274</v>
      </c>
      <c r="C947" t="str">
        <f t="shared" si="109"/>
        <v>FFDF53C0</v>
      </c>
      <c r="D947" t="s">
        <v>123</v>
      </c>
      <c r="E947">
        <v>1</v>
      </c>
      <c r="F947">
        <v>1001</v>
      </c>
      <c r="G947" t="s">
        <v>134</v>
      </c>
      <c r="J947" t="s">
        <v>125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>"20:26:15.820"</f>
        <v>20:26:15.820</v>
      </c>
      <c r="T947" t="str">
        <f>"20:26:15.620"</f>
        <v>20:26:15.620</v>
      </c>
      <c r="U947" t="str">
        <f t="shared" si="107"/>
        <v>AA0632</v>
      </c>
      <c r="V947">
        <v>0</v>
      </c>
      <c r="W947">
        <v>0</v>
      </c>
      <c r="X947">
        <v>2</v>
      </c>
      <c r="Y947">
        <v>0</v>
      </c>
      <c r="AA947">
        <v>0</v>
      </c>
      <c r="AB947">
        <v>9</v>
      </c>
      <c r="AC947">
        <v>3</v>
      </c>
      <c r="AD947">
        <v>0</v>
      </c>
      <c r="AE947">
        <v>10</v>
      </c>
      <c r="AF947" t="s">
        <v>126</v>
      </c>
      <c r="AG947">
        <v>0</v>
      </c>
      <c r="AH947">
        <v>0</v>
      </c>
      <c r="AI947">
        <v>2</v>
      </c>
      <c r="AJ947">
        <v>0</v>
      </c>
      <c r="AK947" t="s">
        <v>574</v>
      </c>
      <c r="AL947">
        <v>31.923029</v>
      </c>
      <c r="AM947" t="s">
        <v>595</v>
      </c>
      <c r="AN947">
        <v>-100.97815300000001</v>
      </c>
      <c r="AQ947" t="s">
        <v>129</v>
      </c>
      <c r="AR947">
        <v>100</v>
      </c>
      <c r="AS947">
        <v>1</v>
      </c>
      <c r="AT947">
        <v>-128</v>
      </c>
      <c r="BB947" t="str">
        <f t="shared" si="108"/>
        <v>1200</v>
      </c>
      <c r="BC947">
        <v>1</v>
      </c>
      <c r="BD947" t="str">
        <f t="shared" si="110"/>
        <v xml:space="preserve">N745MB  </v>
      </c>
      <c r="BE947">
        <v>1</v>
      </c>
      <c r="BG947">
        <v>0</v>
      </c>
      <c r="BH947">
        <v>0</v>
      </c>
      <c r="BI947">
        <v>0</v>
      </c>
      <c r="BL947" t="s">
        <v>130</v>
      </c>
      <c r="BM947">
        <v>1</v>
      </c>
      <c r="BN947">
        <v>0</v>
      </c>
      <c r="BO947">
        <v>0</v>
      </c>
      <c r="BP947">
        <v>0</v>
      </c>
      <c r="BT947">
        <v>0</v>
      </c>
      <c r="BU947">
        <v>0</v>
      </c>
      <c r="CE947" t="str">
        <f>"20:26:15.821"</f>
        <v>20:26:15.821</v>
      </c>
      <c r="CF947">
        <v>821149578</v>
      </c>
      <c r="CS947">
        <v>0</v>
      </c>
      <c r="CT947">
        <v>2</v>
      </c>
      <c r="CU947">
        <v>0</v>
      </c>
      <c r="CV947">
        <v>2</v>
      </c>
      <c r="CW947">
        <v>0</v>
      </c>
      <c r="CX947">
        <v>2</v>
      </c>
      <c r="CY947">
        <v>7</v>
      </c>
      <c r="CZ947" t="s">
        <v>131</v>
      </c>
      <c r="DA947">
        <v>116</v>
      </c>
      <c r="DB947">
        <v>3</v>
      </c>
      <c r="DC947" t="s">
        <v>132</v>
      </c>
      <c r="DD947" t="s">
        <v>133</v>
      </c>
      <c r="DG947">
        <v>8422606</v>
      </c>
      <c r="DI947">
        <v>0</v>
      </c>
      <c r="DJ947">
        <v>0</v>
      </c>
      <c r="DK947">
        <v>1</v>
      </c>
      <c r="DL947">
        <v>0</v>
      </c>
      <c r="DM947">
        <v>0</v>
      </c>
      <c r="DN947">
        <v>0</v>
      </c>
      <c r="DO947">
        <v>0</v>
      </c>
      <c r="DP947">
        <v>1</v>
      </c>
      <c r="DQ947">
        <v>0</v>
      </c>
      <c r="DR947">
        <v>0</v>
      </c>
      <c r="DS947">
        <v>0</v>
      </c>
    </row>
    <row r="948" spans="1:123" x14ac:dyDescent="0.25">
      <c r="A948" t="str">
        <f>"11/29/2023 20:26:17.196"</f>
        <v>11/29/2023 20:26:17.196</v>
      </c>
      <c r="C948" t="str">
        <f t="shared" si="109"/>
        <v>FFDF53C0</v>
      </c>
      <c r="D948" t="s">
        <v>123</v>
      </c>
      <c r="E948">
        <v>14</v>
      </c>
      <c r="F948">
        <v>1014</v>
      </c>
      <c r="G948" t="s">
        <v>124</v>
      </c>
      <c r="J948" t="s">
        <v>125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>"20:26:16.805"</f>
        <v>20:26:16.805</v>
      </c>
      <c r="T948" t="str">
        <f>"20:26:16.705"</f>
        <v>20:26:16.705</v>
      </c>
      <c r="U948" t="str">
        <f t="shared" si="107"/>
        <v>AA0632</v>
      </c>
      <c r="V948">
        <v>0</v>
      </c>
      <c r="W948">
        <v>0</v>
      </c>
      <c r="X948">
        <v>2</v>
      </c>
      <c r="Y948">
        <v>0</v>
      </c>
      <c r="AA948">
        <v>0</v>
      </c>
      <c r="AB948">
        <v>9</v>
      </c>
      <c r="AC948">
        <v>3</v>
      </c>
      <c r="AD948">
        <v>0</v>
      </c>
      <c r="AE948">
        <v>10</v>
      </c>
      <c r="AF948" t="s">
        <v>126</v>
      </c>
      <c r="AG948">
        <v>0</v>
      </c>
      <c r="AH948">
        <v>0</v>
      </c>
      <c r="AI948">
        <v>2</v>
      </c>
      <c r="AJ948">
        <v>0</v>
      </c>
      <c r="AK948" t="s">
        <v>574</v>
      </c>
      <c r="AL948">
        <v>31.923029</v>
      </c>
      <c r="AM948" t="s">
        <v>596</v>
      </c>
      <c r="AN948">
        <v>-100.97759499999999</v>
      </c>
      <c r="AQ948" t="s">
        <v>129</v>
      </c>
      <c r="AR948">
        <v>100</v>
      </c>
      <c r="AS948">
        <v>0</v>
      </c>
      <c r="AT948">
        <v>-128</v>
      </c>
      <c r="BB948" t="str">
        <f t="shared" si="108"/>
        <v>1200</v>
      </c>
      <c r="BC948">
        <v>1</v>
      </c>
      <c r="BD948" t="str">
        <f t="shared" si="110"/>
        <v xml:space="preserve">N745MB  </v>
      </c>
      <c r="BE948">
        <v>1</v>
      </c>
      <c r="BG948">
        <v>0</v>
      </c>
      <c r="BH948">
        <v>0</v>
      </c>
      <c r="BI948">
        <v>0</v>
      </c>
      <c r="BL948" t="s">
        <v>130</v>
      </c>
      <c r="BM948">
        <v>1</v>
      </c>
      <c r="BN948">
        <v>0</v>
      </c>
      <c r="BO948">
        <v>0</v>
      </c>
      <c r="BP948">
        <v>0</v>
      </c>
      <c r="BT948">
        <v>0</v>
      </c>
      <c r="BU948">
        <v>0</v>
      </c>
      <c r="CE948" t="str">
        <f>"20:26:16.811"</f>
        <v>20:26:16.811</v>
      </c>
      <c r="CF948">
        <v>811088118</v>
      </c>
      <c r="CS948">
        <v>0</v>
      </c>
      <c r="CT948">
        <v>2</v>
      </c>
      <c r="CU948">
        <v>0</v>
      </c>
      <c r="CV948">
        <v>2</v>
      </c>
      <c r="CW948">
        <v>0</v>
      </c>
      <c r="CX948">
        <v>2</v>
      </c>
      <c r="CY948">
        <v>7</v>
      </c>
      <c r="CZ948" t="s">
        <v>131</v>
      </c>
      <c r="DA948">
        <v>483</v>
      </c>
      <c r="DB948">
        <v>0</v>
      </c>
      <c r="DC948" t="s">
        <v>169</v>
      </c>
      <c r="DD948" t="s">
        <v>170</v>
      </c>
      <c r="DG948">
        <v>7379097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1</v>
      </c>
      <c r="DQ948">
        <v>0</v>
      </c>
      <c r="DR948">
        <v>0</v>
      </c>
      <c r="DS948">
        <v>0</v>
      </c>
    </row>
    <row r="949" spans="1:123" x14ac:dyDescent="0.25">
      <c r="A949" t="str">
        <f>"11/29/2023 20:26:17.305"</f>
        <v>11/29/2023 20:26:17.305</v>
      </c>
      <c r="C949" t="str">
        <f t="shared" si="109"/>
        <v>FFDF53C0</v>
      </c>
      <c r="D949" t="s">
        <v>164</v>
      </c>
      <c r="E949">
        <v>24</v>
      </c>
      <c r="F949">
        <v>2024</v>
      </c>
      <c r="G949" t="s">
        <v>165</v>
      </c>
      <c r="J949" t="s">
        <v>166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>"20:26:16.805"</f>
        <v>20:26:16.805</v>
      </c>
      <c r="T949" t="str">
        <f>"20:26:16.705"</f>
        <v>20:26:16.705</v>
      </c>
      <c r="U949" t="str">
        <f t="shared" si="107"/>
        <v>AA0632</v>
      </c>
      <c r="V949">
        <v>0</v>
      </c>
      <c r="W949">
        <v>0</v>
      </c>
      <c r="X949">
        <v>2</v>
      </c>
      <c r="Y949">
        <v>0</v>
      </c>
      <c r="AA949">
        <v>0</v>
      </c>
      <c r="AB949">
        <v>9</v>
      </c>
      <c r="AC949">
        <v>3</v>
      </c>
      <c r="AD949">
        <v>0</v>
      </c>
      <c r="AE949">
        <v>10</v>
      </c>
      <c r="AF949" t="s">
        <v>126</v>
      </c>
      <c r="AG949">
        <v>0</v>
      </c>
      <c r="AH949">
        <v>0</v>
      </c>
      <c r="AI949">
        <v>2</v>
      </c>
      <c r="AJ949">
        <v>0</v>
      </c>
      <c r="AK949" t="s">
        <v>574</v>
      </c>
      <c r="AL949">
        <v>31.923029</v>
      </c>
      <c r="AM949" t="s">
        <v>596</v>
      </c>
      <c r="AN949">
        <v>-100.97759499999999</v>
      </c>
      <c r="AQ949" t="s">
        <v>129</v>
      </c>
      <c r="AR949">
        <v>100</v>
      </c>
      <c r="AS949">
        <v>0</v>
      </c>
      <c r="AT949">
        <v>-128</v>
      </c>
      <c r="BB949" t="str">
        <f t="shared" si="108"/>
        <v>1200</v>
      </c>
      <c r="BC949">
        <v>1</v>
      </c>
      <c r="BD949" t="str">
        <f t="shared" si="110"/>
        <v xml:space="preserve">N745MB  </v>
      </c>
      <c r="BE949">
        <v>1</v>
      </c>
      <c r="BG949">
        <v>0</v>
      </c>
      <c r="BH949">
        <v>0</v>
      </c>
      <c r="BI949">
        <v>0</v>
      </c>
      <c r="BL949" t="s">
        <v>130</v>
      </c>
      <c r="BM949">
        <v>1</v>
      </c>
      <c r="BN949">
        <v>0</v>
      </c>
      <c r="BO949">
        <v>0</v>
      </c>
      <c r="BP949">
        <v>0</v>
      </c>
      <c r="BT949">
        <v>0</v>
      </c>
      <c r="BU949">
        <v>0</v>
      </c>
      <c r="CE949" t="str">
        <f>"20:26:16.811"</f>
        <v>20:26:16.811</v>
      </c>
      <c r="CF949">
        <v>811088118</v>
      </c>
      <c r="CS949">
        <v>0</v>
      </c>
      <c r="CT949">
        <v>2</v>
      </c>
      <c r="CU949">
        <v>0</v>
      </c>
      <c r="CV949">
        <v>2</v>
      </c>
      <c r="CW949">
        <v>0</v>
      </c>
      <c r="CX949">
        <v>2</v>
      </c>
      <c r="CY949">
        <v>7</v>
      </c>
      <c r="CZ949" t="s">
        <v>131</v>
      </c>
      <c r="DA949">
        <v>483</v>
      </c>
      <c r="DB949">
        <v>0</v>
      </c>
      <c r="DC949" t="s">
        <v>169</v>
      </c>
      <c r="DD949" t="s">
        <v>170</v>
      </c>
      <c r="DG949">
        <v>7379097</v>
      </c>
      <c r="DI949">
        <v>0</v>
      </c>
      <c r="DJ949">
        <v>0</v>
      </c>
      <c r="DK949">
        <v>1</v>
      </c>
      <c r="DL949">
        <v>0</v>
      </c>
      <c r="DM949">
        <v>0</v>
      </c>
      <c r="DN949">
        <v>0</v>
      </c>
      <c r="DO949">
        <v>0</v>
      </c>
      <c r="DP949">
        <v>1</v>
      </c>
      <c r="DQ949">
        <v>0</v>
      </c>
      <c r="DR949">
        <v>0</v>
      </c>
      <c r="DS949">
        <v>0</v>
      </c>
    </row>
    <row r="950" spans="1:123" x14ac:dyDescent="0.25">
      <c r="A950" t="str">
        <f>"11/29/2023 20:26:17.196"</f>
        <v>11/29/2023 20:26:17.196</v>
      </c>
      <c r="C950" t="str">
        <f t="shared" si="109"/>
        <v>FFDF53C0</v>
      </c>
      <c r="D950" t="s">
        <v>138</v>
      </c>
      <c r="E950">
        <v>3</v>
      </c>
      <c r="H950">
        <v>160</v>
      </c>
      <c r="I950" t="s">
        <v>124</v>
      </c>
      <c r="J950" t="s">
        <v>139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>"20:26:16.805"</f>
        <v>20:26:16.805</v>
      </c>
      <c r="T950" t="str">
        <f>"20:26:16.705"</f>
        <v>20:26:16.705</v>
      </c>
      <c r="U950" t="str">
        <f t="shared" si="107"/>
        <v>AA0632</v>
      </c>
      <c r="V950">
        <v>0</v>
      </c>
      <c r="W950">
        <v>0</v>
      </c>
      <c r="X950">
        <v>2</v>
      </c>
      <c r="Y950">
        <v>0</v>
      </c>
      <c r="AA950">
        <v>0</v>
      </c>
      <c r="AB950">
        <v>9</v>
      </c>
      <c r="AC950">
        <v>3</v>
      </c>
      <c r="AD950">
        <v>0</v>
      </c>
      <c r="AE950">
        <v>10</v>
      </c>
      <c r="AF950" t="s">
        <v>126</v>
      </c>
      <c r="AG950">
        <v>0</v>
      </c>
      <c r="AH950">
        <v>0</v>
      </c>
      <c r="AI950">
        <v>2</v>
      </c>
      <c r="AJ950">
        <v>0</v>
      </c>
      <c r="AK950" t="s">
        <v>574</v>
      </c>
      <c r="AL950">
        <v>31.923029</v>
      </c>
      <c r="AM950" t="s">
        <v>596</v>
      </c>
      <c r="AN950">
        <v>-100.97759499999999</v>
      </c>
      <c r="AQ950" t="s">
        <v>129</v>
      </c>
      <c r="AR950">
        <v>100</v>
      </c>
      <c r="AS950">
        <v>0</v>
      </c>
      <c r="AT950">
        <v>-128</v>
      </c>
      <c r="BB950" t="str">
        <f t="shared" si="108"/>
        <v>1200</v>
      </c>
      <c r="BC950">
        <v>1</v>
      </c>
      <c r="BD950" t="str">
        <f t="shared" si="110"/>
        <v xml:space="preserve">N745MB  </v>
      </c>
      <c r="BE950">
        <v>1</v>
      </c>
      <c r="BG950">
        <v>0</v>
      </c>
      <c r="BH950">
        <v>0</v>
      </c>
      <c r="BI950">
        <v>0</v>
      </c>
      <c r="BL950" t="s">
        <v>130</v>
      </c>
      <c r="BM950">
        <v>1</v>
      </c>
      <c r="BN950">
        <v>0</v>
      </c>
      <c r="BO950">
        <v>0</v>
      </c>
      <c r="BP950">
        <v>0</v>
      </c>
      <c r="BT950">
        <v>0</v>
      </c>
      <c r="BU950">
        <v>0</v>
      </c>
      <c r="CE950" t="str">
        <f>"20:26:16.811"</f>
        <v>20:26:16.811</v>
      </c>
      <c r="CF950">
        <v>811088118</v>
      </c>
      <c r="CS950">
        <v>0</v>
      </c>
      <c r="CT950">
        <v>2</v>
      </c>
      <c r="CU950">
        <v>0</v>
      </c>
      <c r="CV950">
        <v>2</v>
      </c>
      <c r="CW950">
        <v>0</v>
      </c>
      <c r="CX950">
        <v>2</v>
      </c>
      <c r="CY950">
        <v>7</v>
      </c>
      <c r="CZ950" t="s">
        <v>131</v>
      </c>
      <c r="DA950">
        <v>483</v>
      </c>
      <c r="DB950">
        <v>0</v>
      </c>
      <c r="DC950" t="s">
        <v>169</v>
      </c>
      <c r="DD950" t="s">
        <v>170</v>
      </c>
      <c r="DG950">
        <v>7379097</v>
      </c>
      <c r="DI950">
        <v>0</v>
      </c>
      <c r="DJ950">
        <v>0</v>
      </c>
      <c r="DK950">
        <v>1</v>
      </c>
      <c r="DL950">
        <v>0</v>
      </c>
      <c r="DM950">
        <v>0</v>
      </c>
      <c r="DN950">
        <v>0</v>
      </c>
      <c r="DO950">
        <v>0</v>
      </c>
      <c r="DP950">
        <v>1</v>
      </c>
      <c r="DQ950">
        <v>0</v>
      </c>
      <c r="DR950">
        <v>0</v>
      </c>
      <c r="DS950">
        <v>0</v>
      </c>
    </row>
    <row r="951" spans="1:123" x14ac:dyDescent="0.25">
      <c r="A951" t="str">
        <f>"11/29/2023 20:26:18.587"</f>
        <v>11/29/2023 20:26:18.587</v>
      </c>
      <c r="C951" t="str">
        <f t="shared" si="109"/>
        <v>FFDF53C0</v>
      </c>
      <c r="D951" t="s">
        <v>164</v>
      </c>
      <c r="E951">
        <v>24</v>
      </c>
      <c r="F951">
        <v>2024</v>
      </c>
      <c r="G951" t="s">
        <v>165</v>
      </c>
      <c r="J951" t="s">
        <v>166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>"20:26:18.297"</f>
        <v>20:26:18.297</v>
      </c>
      <c r="T951" t="str">
        <f>"20:26:16.697"</f>
        <v>20:26:16.697</v>
      </c>
      <c r="U951" t="str">
        <f t="shared" si="107"/>
        <v>AA0632</v>
      </c>
      <c r="V951">
        <v>0</v>
      </c>
      <c r="W951">
        <v>0</v>
      </c>
      <c r="X951">
        <v>2</v>
      </c>
      <c r="Y951">
        <v>0</v>
      </c>
      <c r="AA951">
        <v>0</v>
      </c>
      <c r="AB951">
        <v>9</v>
      </c>
      <c r="AC951">
        <v>3</v>
      </c>
      <c r="AD951">
        <v>0</v>
      </c>
      <c r="AE951">
        <v>10</v>
      </c>
      <c r="AF951" t="s">
        <v>126</v>
      </c>
      <c r="AG951">
        <v>0</v>
      </c>
      <c r="AH951">
        <v>0</v>
      </c>
      <c r="AI951">
        <v>2</v>
      </c>
      <c r="AJ951">
        <v>0</v>
      </c>
      <c r="AK951" t="s">
        <v>572</v>
      </c>
      <c r="AL951">
        <v>31.923007999999999</v>
      </c>
      <c r="AM951" t="s">
        <v>597</v>
      </c>
      <c r="AN951">
        <v>-100.97680099999999</v>
      </c>
      <c r="AQ951" t="s">
        <v>129</v>
      </c>
      <c r="AR951">
        <v>100</v>
      </c>
      <c r="AS951">
        <v>0</v>
      </c>
      <c r="AT951">
        <v>-128</v>
      </c>
      <c r="BB951" t="str">
        <f t="shared" si="108"/>
        <v>1200</v>
      </c>
      <c r="BC951">
        <v>1</v>
      </c>
      <c r="BD951" t="str">
        <f t="shared" si="110"/>
        <v xml:space="preserve">N745MB  </v>
      </c>
      <c r="BE951">
        <v>1</v>
      </c>
      <c r="BG951">
        <v>0</v>
      </c>
      <c r="BH951">
        <v>0</v>
      </c>
      <c r="BI951">
        <v>0</v>
      </c>
      <c r="BL951" t="s">
        <v>130</v>
      </c>
      <c r="BM951">
        <v>1</v>
      </c>
      <c r="BN951">
        <v>0</v>
      </c>
      <c r="BO951">
        <v>0</v>
      </c>
      <c r="BP951">
        <v>0</v>
      </c>
      <c r="BT951">
        <v>0</v>
      </c>
      <c r="BU951">
        <v>0</v>
      </c>
      <c r="CE951" t="str">
        <f>"20:26:18.303"</f>
        <v>20:26:18.303</v>
      </c>
      <c r="CF951">
        <v>302988410</v>
      </c>
      <c r="CS951">
        <v>0</v>
      </c>
      <c r="CT951">
        <v>2</v>
      </c>
      <c r="CU951">
        <v>0</v>
      </c>
      <c r="CV951">
        <v>2</v>
      </c>
      <c r="CW951">
        <v>0</v>
      </c>
      <c r="CX951">
        <v>4</v>
      </c>
      <c r="CY951">
        <v>7</v>
      </c>
      <c r="CZ951" t="s">
        <v>131</v>
      </c>
      <c r="DA951">
        <v>483</v>
      </c>
      <c r="DB951">
        <v>0</v>
      </c>
      <c r="DC951" t="s">
        <v>169</v>
      </c>
      <c r="DD951" t="s">
        <v>170</v>
      </c>
      <c r="DG951">
        <v>7379304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1</v>
      </c>
      <c r="DQ951">
        <v>0</v>
      </c>
      <c r="DR951">
        <v>0</v>
      </c>
      <c r="DS951">
        <v>0</v>
      </c>
    </row>
    <row r="952" spans="1:123" x14ac:dyDescent="0.25">
      <c r="A952" t="str">
        <f>"11/29/2023 20:26:18.696"</f>
        <v>11/29/2023 20:26:18.696</v>
      </c>
      <c r="C952" t="str">
        <f t="shared" si="109"/>
        <v>FFDF53C0</v>
      </c>
      <c r="D952" t="s">
        <v>123</v>
      </c>
      <c r="E952">
        <v>14</v>
      </c>
      <c r="F952">
        <v>1014</v>
      </c>
      <c r="G952" t="s">
        <v>124</v>
      </c>
      <c r="J952" t="s">
        <v>125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>"20:26:18.297"</f>
        <v>20:26:18.297</v>
      </c>
      <c r="T952" t="str">
        <f>"20:26:16.697"</f>
        <v>20:26:16.697</v>
      </c>
      <c r="U952" t="str">
        <f t="shared" si="107"/>
        <v>AA0632</v>
      </c>
      <c r="V952">
        <v>0</v>
      </c>
      <c r="W952">
        <v>0</v>
      </c>
      <c r="X952">
        <v>2</v>
      </c>
      <c r="Y952">
        <v>0</v>
      </c>
      <c r="AA952">
        <v>0</v>
      </c>
      <c r="AB952">
        <v>9</v>
      </c>
      <c r="AC952">
        <v>3</v>
      </c>
      <c r="AD952">
        <v>0</v>
      </c>
      <c r="AE952">
        <v>10</v>
      </c>
      <c r="AF952" t="s">
        <v>126</v>
      </c>
      <c r="AG952">
        <v>0</v>
      </c>
      <c r="AH952">
        <v>0</v>
      </c>
      <c r="AI952">
        <v>2</v>
      </c>
      <c r="AJ952">
        <v>0</v>
      </c>
      <c r="AK952" t="s">
        <v>572</v>
      </c>
      <c r="AL952">
        <v>31.923007999999999</v>
      </c>
      <c r="AM952" t="s">
        <v>597</v>
      </c>
      <c r="AN952">
        <v>-100.97680099999999</v>
      </c>
      <c r="AQ952" t="s">
        <v>129</v>
      </c>
      <c r="AR952">
        <v>100</v>
      </c>
      <c r="AS952">
        <v>0</v>
      </c>
      <c r="AT952">
        <v>-128</v>
      </c>
      <c r="BB952" t="str">
        <f t="shared" si="108"/>
        <v>1200</v>
      </c>
      <c r="BC952">
        <v>1</v>
      </c>
      <c r="BD952" t="str">
        <f t="shared" si="110"/>
        <v xml:space="preserve">N745MB  </v>
      </c>
      <c r="BE952">
        <v>1</v>
      </c>
      <c r="BG952">
        <v>0</v>
      </c>
      <c r="BH952">
        <v>0</v>
      </c>
      <c r="BI952">
        <v>0</v>
      </c>
      <c r="BL952" t="s">
        <v>130</v>
      </c>
      <c r="BM952">
        <v>1</v>
      </c>
      <c r="BN952">
        <v>0</v>
      </c>
      <c r="BO952">
        <v>0</v>
      </c>
      <c r="BP952">
        <v>0</v>
      </c>
      <c r="BT952">
        <v>0</v>
      </c>
      <c r="BU952">
        <v>0</v>
      </c>
      <c r="CE952" t="str">
        <f>"20:26:18.303"</f>
        <v>20:26:18.303</v>
      </c>
      <c r="CF952">
        <v>302988410</v>
      </c>
      <c r="CS952">
        <v>0</v>
      </c>
      <c r="CT952">
        <v>2</v>
      </c>
      <c r="CU952">
        <v>0</v>
      </c>
      <c r="CV952">
        <v>2</v>
      </c>
      <c r="CW952">
        <v>0</v>
      </c>
      <c r="CX952">
        <v>4</v>
      </c>
      <c r="CY952">
        <v>7</v>
      </c>
      <c r="CZ952" t="s">
        <v>131</v>
      </c>
      <c r="DA952">
        <v>483</v>
      </c>
      <c r="DB952">
        <v>0</v>
      </c>
      <c r="DC952" t="s">
        <v>169</v>
      </c>
      <c r="DD952" t="s">
        <v>170</v>
      </c>
      <c r="DG952">
        <v>7379304</v>
      </c>
      <c r="DI952">
        <v>0</v>
      </c>
      <c r="DJ952">
        <v>0</v>
      </c>
      <c r="DK952">
        <v>1</v>
      </c>
      <c r="DL952">
        <v>0</v>
      </c>
      <c r="DM952">
        <v>0</v>
      </c>
      <c r="DN952">
        <v>0</v>
      </c>
      <c r="DO952">
        <v>0</v>
      </c>
      <c r="DP952">
        <v>1</v>
      </c>
      <c r="DQ952">
        <v>0</v>
      </c>
      <c r="DR952">
        <v>0</v>
      </c>
      <c r="DS952">
        <v>0</v>
      </c>
    </row>
    <row r="953" spans="1:123" x14ac:dyDescent="0.25">
      <c r="A953" t="str">
        <f>"11/29/2023 20:26:18.696"</f>
        <v>11/29/2023 20:26:18.696</v>
      </c>
      <c r="C953" t="str">
        <f t="shared" si="109"/>
        <v>FFDF53C0</v>
      </c>
      <c r="D953" t="s">
        <v>138</v>
      </c>
      <c r="E953">
        <v>3</v>
      </c>
      <c r="H953">
        <v>160</v>
      </c>
      <c r="I953" t="s">
        <v>124</v>
      </c>
      <c r="J953" t="s">
        <v>139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>"20:26:18.297"</f>
        <v>20:26:18.297</v>
      </c>
      <c r="T953" t="str">
        <f>"20:26:16.697"</f>
        <v>20:26:16.697</v>
      </c>
      <c r="U953" t="str">
        <f t="shared" si="107"/>
        <v>AA0632</v>
      </c>
      <c r="V953">
        <v>0</v>
      </c>
      <c r="W953">
        <v>0</v>
      </c>
      <c r="X953">
        <v>2</v>
      </c>
      <c r="Y953">
        <v>0</v>
      </c>
      <c r="AA953">
        <v>0</v>
      </c>
      <c r="AB953">
        <v>9</v>
      </c>
      <c r="AC953">
        <v>3</v>
      </c>
      <c r="AD953">
        <v>0</v>
      </c>
      <c r="AE953">
        <v>10</v>
      </c>
      <c r="AF953" t="s">
        <v>126</v>
      </c>
      <c r="AG953">
        <v>0</v>
      </c>
      <c r="AH953">
        <v>0</v>
      </c>
      <c r="AI953">
        <v>2</v>
      </c>
      <c r="AJ953">
        <v>0</v>
      </c>
      <c r="AK953" t="s">
        <v>572</v>
      </c>
      <c r="AL953">
        <v>31.923007999999999</v>
      </c>
      <c r="AM953" t="s">
        <v>597</v>
      </c>
      <c r="AN953">
        <v>-100.97680099999999</v>
      </c>
      <c r="AQ953" t="s">
        <v>129</v>
      </c>
      <c r="AR953">
        <v>100</v>
      </c>
      <c r="AS953">
        <v>0</v>
      </c>
      <c r="AT953">
        <v>-128</v>
      </c>
      <c r="BB953" t="str">
        <f t="shared" si="108"/>
        <v>1200</v>
      </c>
      <c r="BC953">
        <v>1</v>
      </c>
      <c r="BD953" t="str">
        <f t="shared" si="110"/>
        <v xml:space="preserve">N745MB  </v>
      </c>
      <c r="BE953">
        <v>1</v>
      </c>
      <c r="BG953">
        <v>0</v>
      </c>
      <c r="BH953">
        <v>0</v>
      </c>
      <c r="BI953">
        <v>0</v>
      </c>
      <c r="BL953" t="s">
        <v>130</v>
      </c>
      <c r="BM953">
        <v>1</v>
      </c>
      <c r="BN953">
        <v>0</v>
      </c>
      <c r="BO953">
        <v>0</v>
      </c>
      <c r="BP953">
        <v>0</v>
      </c>
      <c r="BT953">
        <v>0</v>
      </c>
      <c r="BU953">
        <v>0</v>
      </c>
      <c r="CE953" t="str">
        <f>"20:26:18.303"</f>
        <v>20:26:18.303</v>
      </c>
      <c r="CF953">
        <v>302988410</v>
      </c>
      <c r="CS953">
        <v>0</v>
      </c>
      <c r="CT953">
        <v>2</v>
      </c>
      <c r="CU953">
        <v>0</v>
      </c>
      <c r="CV953">
        <v>2</v>
      </c>
      <c r="CW953">
        <v>0</v>
      </c>
      <c r="CX953">
        <v>4</v>
      </c>
      <c r="CY953">
        <v>7</v>
      </c>
      <c r="CZ953" t="s">
        <v>131</v>
      </c>
      <c r="DA953">
        <v>483</v>
      </c>
      <c r="DB953">
        <v>0</v>
      </c>
      <c r="DC953" t="s">
        <v>169</v>
      </c>
      <c r="DD953" t="s">
        <v>170</v>
      </c>
      <c r="DG953">
        <v>7379304</v>
      </c>
      <c r="DI953">
        <v>0</v>
      </c>
      <c r="DJ953">
        <v>0</v>
      </c>
      <c r="DK953">
        <v>1</v>
      </c>
      <c r="DL953">
        <v>0</v>
      </c>
      <c r="DM953">
        <v>0</v>
      </c>
      <c r="DN953">
        <v>0</v>
      </c>
      <c r="DO953">
        <v>0</v>
      </c>
      <c r="DP953">
        <v>1</v>
      </c>
      <c r="DQ953">
        <v>0</v>
      </c>
      <c r="DR953">
        <v>0</v>
      </c>
      <c r="DS953">
        <v>0</v>
      </c>
    </row>
    <row r="954" spans="1:123" x14ac:dyDescent="0.25">
      <c r="A954" t="str">
        <f>"11/29/2023 20:26:20.883"</f>
        <v>11/29/2023 20:26:20.883</v>
      </c>
      <c r="C954" t="str">
        <f t="shared" si="109"/>
        <v>FFDF53C0</v>
      </c>
      <c r="D954" t="s">
        <v>123</v>
      </c>
      <c r="E954">
        <v>14</v>
      </c>
      <c r="F954">
        <v>1014</v>
      </c>
      <c r="G954" t="s">
        <v>124</v>
      </c>
      <c r="J954" t="s">
        <v>125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>"20:26:20.297"</f>
        <v>20:26:20.297</v>
      </c>
      <c r="T954" t="str">
        <f>"20:26:19.897"</f>
        <v>20:26:19.897</v>
      </c>
      <c r="U954" t="str">
        <f t="shared" si="107"/>
        <v>AA0632</v>
      </c>
      <c r="V954">
        <v>0</v>
      </c>
      <c r="W954">
        <v>0</v>
      </c>
      <c r="X954">
        <v>2</v>
      </c>
      <c r="Y954">
        <v>0</v>
      </c>
      <c r="AA954">
        <v>0</v>
      </c>
      <c r="AB954">
        <v>9</v>
      </c>
      <c r="AC954">
        <v>3</v>
      </c>
      <c r="AD954">
        <v>0</v>
      </c>
      <c r="AE954">
        <v>10</v>
      </c>
      <c r="AF954" t="s">
        <v>126</v>
      </c>
      <c r="AG954">
        <v>0</v>
      </c>
      <c r="AH954">
        <v>0</v>
      </c>
      <c r="AI954">
        <v>2</v>
      </c>
      <c r="AJ954">
        <v>0</v>
      </c>
      <c r="AK954" t="s">
        <v>572</v>
      </c>
      <c r="AL954">
        <v>31.923007999999999</v>
      </c>
      <c r="AM954" t="s">
        <v>598</v>
      </c>
      <c r="AN954">
        <v>-100.975728</v>
      </c>
      <c r="AQ954" t="s">
        <v>129</v>
      </c>
      <c r="AR954">
        <v>99</v>
      </c>
      <c r="AS954">
        <v>-1</v>
      </c>
      <c r="AT954">
        <v>64</v>
      </c>
      <c r="BB954" t="str">
        <f t="shared" si="108"/>
        <v>1200</v>
      </c>
      <c r="BC954">
        <v>1</v>
      </c>
      <c r="BD954" t="str">
        <f t="shared" si="110"/>
        <v xml:space="preserve">N745MB  </v>
      </c>
      <c r="BE954">
        <v>1</v>
      </c>
      <c r="BG954">
        <v>0</v>
      </c>
      <c r="BH954">
        <v>0</v>
      </c>
      <c r="BI954">
        <v>0</v>
      </c>
      <c r="BL954" t="s">
        <v>130</v>
      </c>
      <c r="BM954">
        <v>1</v>
      </c>
      <c r="BN954">
        <v>0</v>
      </c>
      <c r="BO954">
        <v>0</v>
      </c>
      <c r="BP954">
        <v>0</v>
      </c>
      <c r="BT954">
        <v>0</v>
      </c>
      <c r="BU954">
        <v>0</v>
      </c>
      <c r="CE954" t="str">
        <f>"20:26:20.299"</f>
        <v>20:26:20.299</v>
      </c>
      <c r="CF954">
        <v>298850422</v>
      </c>
      <c r="CS954">
        <v>0</v>
      </c>
      <c r="CT954">
        <v>2</v>
      </c>
      <c r="CU954">
        <v>0</v>
      </c>
      <c r="CV954">
        <v>2</v>
      </c>
      <c r="CW954">
        <v>0</v>
      </c>
      <c r="CX954">
        <v>5</v>
      </c>
      <c r="CY954">
        <v>7</v>
      </c>
      <c r="CZ954" t="s">
        <v>131</v>
      </c>
      <c r="DA954">
        <v>116</v>
      </c>
      <c r="DB954">
        <v>3</v>
      </c>
      <c r="DC954" t="s">
        <v>132</v>
      </c>
      <c r="DD954" t="s">
        <v>133</v>
      </c>
      <c r="DG954">
        <v>8424906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1</v>
      </c>
      <c r="DQ954">
        <v>0</v>
      </c>
      <c r="DR954">
        <v>0</v>
      </c>
      <c r="DS954">
        <v>0</v>
      </c>
    </row>
    <row r="955" spans="1:123" x14ac:dyDescent="0.25">
      <c r="A955" t="str">
        <f>"11/29/2023 20:26:20.977"</f>
        <v>11/29/2023 20:26:20.977</v>
      </c>
      <c r="C955" t="str">
        <f t="shared" si="109"/>
        <v>FFDF53C0</v>
      </c>
      <c r="D955" t="s">
        <v>135</v>
      </c>
      <c r="E955">
        <v>31</v>
      </c>
      <c r="H955">
        <v>285</v>
      </c>
      <c r="I955" t="s">
        <v>136</v>
      </c>
      <c r="J955" t="s">
        <v>137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>"20:26:20.297"</f>
        <v>20:26:20.297</v>
      </c>
      <c r="T955" t="str">
        <f>"20:26:19.897"</f>
        <v>20:26:19.897</v>
      </c>
      <c r="U955" t="str">
        <f t="shared" si="107"/>
        <v>AA0632</v>
      </c>
      <c r="V955">
        <v>0</v>
      </c>
      <c r="W955">
        <v>0</v>
      </c>
      <c r="X955">
        <v>2</v>
      </c>
      <c r="Y955">
        <v>0</v>
      </c>
      <c r="AA955">
        <v>0</v>
      </c>
      <c r="AB955">
        <v>9</v>
      </c>
      <c r="AC955">
        <v>3</v>
      </c>
      <c r="AD955">
        <v>0</v>
      </c>
      <c r="AE955">
        <v>10</v>
      </c>
      <c r="AF955" t="s">
        <v>126</v>
      </c>
      <c r="AG955">
        <v>0</v>
      </c>
      <c r="AH955">
        <v>0</v>
      </c>
      <c r="AI955">
        <v>2</v>
      </c>
      <c r="AJ955">
        <v>0</v>
      </c>
      <c r="AK955" t="s">
        <v>572</v>
      </c>
      <c r="AL955">
        <v>31.923007999999999</v>
      </c>
      <c r="AM955" t="s">
        <v>598</v>
      </c>
      <c r="AN955">
        <v>-100.975728</v>
      </c>
      <c r="AQ955" t="s">
        <v>129</v>
      </c>
      <c r="AR955">
        <v>99</v>
      </c>
      <c r="AS955">
        <v>-1</v>
      </c>
      <c r="AT955">
        <v>64</v>
      </c>
      <c r="BB955" t="str">
        <f t="shared" si="108"/>
        <v>1200</v>
      </c>
      <c r="BC955">
        <v>1</v>
      </c>
      <c r="BD955" t="str">
        <f t="shared" si="110"/>
        <v xml:space="preserve">N745MB  </v>
      </c>
      <c r="BE955">
        <v>1</v>
      </c>
      <c r="BG955">
        <v>0</v>
      </c>
      <c r="BH955">
        <v>0</v>
      </c>
      <c r="BI955">
        <v>0</v>
      </c>
      <c r="BL955" t="s">
        <v>130</v>
      </c>
      <c r="BM955">
        <v>1</v>
      </c>
      <c r="BN955">
        <v>0</v>
      </c>
      <c r="BO955">
        <v>0</v>
      </c>
      <c r="BP955">
        <v>0</v>
      </c>
      <c r="BT955">
        <v>0</v>
      </c>
      <c r="BU955">
        <v>0</v>
      </c>
      <c r="CE955" t="str">
        <f>"20:26:20.299"</f>
        <v>20:26:20.299</v>
      </c>
      <c r="CF955">
        <v>298850422</v>
      </c>
      <c r="CS955">
        <v>0</v>
      </c>
      <c r="CT955">
        <v>2</v>
      </c>
      <c r="CU955">
        <v>0</v>
      </c>
      <c r="CV955">
        <v>2</v>
      </c>
      <c r="CW955">
        <v>0</v>
      </c>
      <c r="CX955">
        <v>5</v>
      </c>
      <c r="CY955">
        <v>7</v>
      </c>
      <c r="CZ955" t="s">
        <v>131</v>
      </c>
      <c r="DA955">
        <v>116</v>
      </c>
      <c r="DB955">
        <v>3</v>
      </c>
      <c r="DC955" t="s">
        <v>132</v>
      </c>
      <c r="DD955" t="s">
        <v>133</v>
      </c>
      <c r="DG955">
        <v>8424906</v>
      </c>
      <c r="DI955">
        <v>0</v>
      </c>
      <c r="DJ955">
        <v>0</v>
      </c>
      <c r="DK955">
        <v>1</v>
      </c>
      <c r="DL955">
        <v>0</v>
      </c>
      <c r="DM955">
        <v>0</v>
      </c>
      <c r="DN955">
        <v>0</v>
      </c>
      <c r="DO955">
        <v>0</v>
      </c>
      <c r="DP955">
        <v>1</v>
      </c>
      <c r="DQ955">
        <v>0</v>
      </c>
      <c r="DR955">
        <v>0</v>
      </c>
      <c r="DS955">
        <v>0</v>
      </c>
    </row>
    <row r="956" spans="1:123" x14ac:dyDescent="0.25">
      <c r="A956" t="str">
        <f>"11/29/2023 20:26:20.977"</f>
        <v>11/29/2023 20:26:20.977</v>
      </c>
      <c r="C956" t="str">
        <f t="shared" si="109"/>
        <v>FFDF53C0</v>
      </c>
      <c r="D956" t="s">
        <v>138</v>
      </c>
      <c r="E956">
        <v>3</v>
      </c>
      <c r="H956">
        <v>160</v>
      </c>
      <c r="I956" t="s">
        <v>124</v>
      </c>
      <c r="J956" t="s">
        <v>139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>"20:26:20.297"</f>
        <v>20:26:20.297</v>
      </c>
      <c r="T956" t="str">
        <f>"20:26:19.897"</f>
        <v>20:26:19.897</v>
      </c>
      <c r="U956" t="str">
        <f t="shared" si="107"/>
        <v>AA0632</v>
      </c>
      <c r="V956">
        <v>0</v>
      </c>
      <c r="W956">
        <v>0</v>
      </c>
      <c r="X956">
        <v>2</v>
      </c>
      <c r="Y956">
        <v>0</v>
      </c>
      <c r="AA956">
        <v>0</v>
      </c>
      <c r="AB956">
        <v>9</v>
      </c>
      <c r="AC956">
        <v>3</v>
      </c>
      <c r="AD956">
        <v>0</v>
      </c>
      <c r="AE956">
        <v>10</v>
      </c>
      <c r="AF956" t="s">
        <v>126</v>
      </c>
      <c r="AG956">
        <v>0</v>
      </c>
      <c r="AH956">
        <v>0</v>
      </c>
      <c r="AI956">
        <v>2</v>
      </c>
      <c r="AJ956">
        <v>0</v>
      </c>
      <c r="AK956" t="s">
        <v>572</v>
      </c>
      <c r="AL956">
        <v>31.923007999999999</v>
      </c>
      <c r="AM956" t="s">
        <v>598</v>
      </c>
      <c r="AN956">
        <v>-100.975728</v>
      </c>
      <c r="AQ956" t="s">
        <v>129</v>
      </c>
      <c r="AR956">
        <v>99</v>
      </c>
      <c r="AS956">
        <v>-1</v>
      </c>
      <c r="AT956">
        <v>64</v>
      </c>
      <c r="BB956" t="str">
        <f t="shared" si="108"/>
        <v>1200</v>
      </c>
      <c r="BC956">
        <v>1</v>
      </c>
      <c r="BD956" t="str">
        <f t="shared" si="110"/>
        <v xml:space="preserve">N745MB  </v>
      </c>
      <c r="BE956">
        <v>1</v>
      </c>
      <c r="BG956">
        <v>0</v>
      </c>
      <c r="BH956">
        <v>0</v>
      </c>
      <c r="BI956">
        <v>0</v>
      </c>
      <c r="BL956" t="s">
        <v>130</v>
      </c>
      <c r="BM956">
        <v>1</v>
      </c>
      <c r="BN956">
        <v>0</v>
      </c>
      <c r="BO956">
        <v>0</v>
      </c>
      <c r="BP956">
        <v>0</v>
      </c>
      <c r="BT956">
        <v>0</v>
      </c>
      <c r="BU956">
        <v>0</v>
      </c>
      <c r="CE956" t="str">
        <f>"20:26:20.299"</f>
        <v>20:26:20.299</v>
      </c>
      <c r="CF956">
        <v>298850422</v>
      </c>
      <c r="CS956">
        <v>0</v>
      </c>
      <c r="CT956">
        <v>2</v>
      </c>
      <c r="CU956">
        <v>0</v>
      </c>
      <c r="CV956">
        <v>2</v>
      </c>
      <c r="CW956">
        <v>0</v>
      </c>
      <c r="CX956">
        <v>5</v>
      </c>
      <c r="CY956">
        <v>7</v>
      </c>
      <c r="CZ956" t="s">
        <v>131</v>
      </c>
      <c r="DA956">
        <v>116</v>
      </c>
      <c r="DB956">
        <v>3</v>
      </c>
      <c r="DC956" t="s">
        <v>132</v>
      </c>
      <c r="DD956" t="s">
        <v>133</v>
      </c>
      <c r="DG956">
        <v>8424906</v>
      </c>
      <c r="DI956">
        <v>0</v>
      </c>
      <c r="DJ956">
        <v>0</v>
      </c>
      <c r="DK956">
        <v>1</v>
      </c>
      <c r="DL956">
        <v>0</v>
      </c>
      <c r="DM956">
        <v>0</v>
      </c>
      <c r="DN956">
        <v>0</v>
      </c>
      <c r="DO956">
        <v>0</v>
      </c>
      <c r="DP956">
        <v>1</v>
      </c>
      <c r="DQ956">
        <v>0</v>
      </c>
      <c r="DR956">
        <v>0</v>
      </c>
      <c r="DS956">
        <v>0</v>
      </c>
    </row>
    <row r="957" spans="1:123" x14ac:dyDescent="0.25">
      <c r="A957" t="str">
        <f>"11/29/2023 20:26:20.977"</f>
        <v>11/29/2023 20:26:20.977</v>
      </c>
      <c r="C957" t="str">
        <f t="shared" si="109"/>
        <v>FFDF53C0</v>
      </c>
      <c r="D957" t="s">
        <v>123</v>
      </c>
      <c r="E957">
        <v>1</v>
      </c>
      <c r="F957">
        <v>1001</v>
      </c>
      <c r="G957" t="s">
        <v>134</v>
      </c>
      <c r="J957" t="s">
        <v>125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>"20:26:20.297"</f>
        <v>20:26:20.297</v>
      </c>
      <c r="T957" t="str">
        <f>"20:26:19.897"</f>
        <v>20:26:19.897</v>
      </c>
      <c r="U957" t="str">
        <f t="shared" si="107"/>
        <v>AA0632</v>
      </c>
      <c r="V957">
        <v>0</v>
      </c>
      <c r="W957">
        <v>0</v>
      </c>
      <c r="X957">
        <v>2</v>
      </c>
      <c r="Y957">
        <v>0</v>
      </c>
      <c r="AA957">
        <v>0</v>
      </c>
      <c r="AB957">
        <v>9</v>
      </c>
      <c r="AC957">
        <v>3</v>
      </c>
      <c r="AD957">
        <v>0</v>
      </c>
      <c r="AE957">
        <v>10</v>
      </c>
      <c r="AF957" t="s">
        <v>126</v>
      </c>
      <c r="AG957">
        <v>0</v>
      </c>
      <c r="AH957">
        <v>0</v>
      </c>
      <c r="AI957">
        <v>2</v>
      </c>
      <c r="AJ957">
        <v>0</v>
      </c>
      <c r="AK957" t="s">
        <v>572</v>
      </c>
      <c r="AL957">
        <v>31.923007999999999</v>
      </c>
      <c r="AM957" t="s">
        <v>598</v>
      </c>
      <c r="AN957">
        <v>-100.975728</v>
      </c>
      <c r="AQ957" t="s">
        <v>129</v>
      </c>
      <c r="AR957">
        <v>99</v>
      </c>
      <c r="AS957">
        <v>-1</v>
      </c>
      <c r="AT957">
        <v>64</v>
      </c>
      <c r="BB957" t="str">
        <f t="shared" si="108"/>
        <v>1200</v>
      </c>
      <c r="BC957">
        <v>1</v>
      </c>
      <c r="BD957" t="str">
        <f t="shared" si="110"/>
        <v xml:space="preserve">N745MB  </v>
      </c>
      <c r="BE957">
        <v>1</v>
      </c>
      <c r="BG957">
        <v>0</v>
      </c>
      <c r="BH957">
        <v>0</v>
      </c>
      <c r="BI957">
        <v>0</v>
      </c>
      <c r="BL957" t="s">
        <v>130</v>
      </c>
      <c r="BM957">
        <v>1</v>
      </c>
      <c r="BN957">
        <v>0</v>
      </c>
      <c r="BO957">
        <v>0</v>
      </c>
      <c r="BP957">
        <v>0</v>
      </c>
      <c r="BT957">
        <v>0</v>
      </c>
      <c r="BU957">
        <v>0</v>
      </c>
      <c r="CE957" t="str">
        <f>"20:26:20.299"</f>
        <v>20:26:20.299</v>
      </c>
      <c r="CF957">
        <v>298850422</v>
      </c>
      <c r="CS957">
        <v>0</v>
      </c>
      <c r="CT957">
        <v>2</v>
      </c>
      <c r="CU957">
        <v>0</v>
      </c>
      <c r="CV957">
        <v>2</v>
      </c>
      <c r="CW957">
        <v>0</v>
      </c>
      <c r="CX957">
        <v>5</v>
      </c>
      <c r="CY957">
        <v>7</v>
      </c>
      <c r="CZ957" t="s">
        <v>131</v>
      </c>
      <c r="DA957">
        <v>116</v>
      </c>
      <c r="DB957">
        <v>3</v>
      </c>
      <c r="DC957" t="s">
        <v>132</v>
      </c>
      <c r="DD957" t="s">
        <v>133</v>
      </c>
      <c r="DG957">
        <v>8424906</v>
      </c>
      <c r="DI957">
        <v>0</v>
      </c>
      <c r="DJ957">
        <v>0</v>
      </c>
      <c r="DK957">
        <v>1</v>
      </c>
      <c r="DL957">
        <v>0</v>
      </c>
      <c r="DM957">
        <v>0</v>
      </c>
      <c r="DN957">
        <v>0</v>
      </c>
      <c r="DO957">
        <v>0</v>
      </c>
      <c r="DP957">
        <v>1</v>
      </c>
      <c r="DQ957">
        <v>0</v>
      </c>
      <c r="DR957">
        <v>0</v>
      </c>
      <c r="DS957">
        <v>0</v>
      </c>
    </row>
    <row r="958" spans="1:123" x14ac:dyDescent="0.25">
      <c r="A958" t="str">
        <f>"11/29/2023 20:26:21.883"</f>
        <v>11/29/2023 20:26:21.883</v>
      </c>
      <c r="C958" t="str">
        <f t="shared" si="109"/>
        <v>FFDF53C0</v>
      </c>
      <c r="D958" t="s">
        <v>123</v>
      </c>
      <c r="E958">
        <v>14</v>
      </c>
      <c r="F958">
        <v>1014</v>
      </c>
      <c r="G958" t="s">
        <v>124</v>
      </c>
      <c r="J958" t="s">
        <v>125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 t="shared" ref="S958:T961" si="113">"20:26:21.438"</f>
        <v>20:26:21.438</v>
      </c>
      <c r="T958" t="str">
        <f t="shared" si="113"/>
        <v>20:26:21.438</v>
      </c>
      <c r="U958" t="str">
        <f t="shared" si="107"/>
        <v>AA0632</v>
      </c>
      <c r="V958">
        <v>0</v>
      </c>
      <c r="W958">
        <v>0</v>
      </c>
      <c r="X958">
        <v>2</v>
      </c>
      <c r="Y958">
        <v>0</v>
      </c>
      <c r="AA958">
        <v>0</v>
      </c>
      <c r="AB958">
        <v>9</v>
      </c>
      <c r="AC958">
        <v>3</v>
      </c>
      <c r="AD958">
        <v>0</v>
      </c>
      <c r="AE958">
        <v>10</v>
      </c>
      <c r="AF958" t="s">
        <v>126</v>
      </c>
      <c r="AG958">
        <v>0</v>
      </c>
      <c r="AH958">
        <v>0</v>
      </c>
      <c r="AI958">
        <v>2</v>
      </c>
      <c r="AJ958">
        <v>0</v>
      </c>
      <c r="AK958" t="s">
        <v>589</v>
      </c>
      <c r="AL958">
        <v>31.922965000000001</v>
      </c>
      <c r="AM958" t="s">
        <v>599</v>
      </c>
      <c r="AN958">
        <v>-100.975127</v>
      </c>
      <c r="AQ958" t="s">
        <v>129</v>
      </c>
      <c r="AR958">
        <v>98</v>
      </c>
      <c r="AS958">
        <v>-1</v>
      </c>
      <c r="AT958">
        <v>256</v>
      </c>
      <c r="BB958" t="str">
        <f t="shared" si="108"/>
        <v>1200</v>
      </c>
      <c r="BC958">
        <v>1</v>
      </c>
      <c r="BD958" t="str">
        <f t="shared" si="110"/>
        <v xml:space="preserve">N745MB  </v>
      </c>
      <c r="BE958">
        <v>1</v>
      </c>
      <c r="BG958">
        <v>0</v>
      </c>
      <c r="BH958">
        <v>0</v>
      </c>
      <c r="BI958">
        <v>0</v>
      </c>
      <c r="BL958" t="s">
        <v>130</v>
      </c>
      <c r="BM958">
        <v>1</v>
      </c>
      <c r="BN958">
        <v>0</v>
      </c>
      <c r="BO958">
        <v>0</v>
      </c>
      <c r="BP958">
        <v>0</v>
      </c>
      <c r="BT958">
        <v>0</v>
      </c>
      <c r="BU958">
        <v>0</v>
      </c>
      <c r="CE958" t="str">
        <f>"20:26:21.445"</f>
        <v>20:26:21.445</v>
      </c>
      <c r="CF958">
        <v>444773824</v>
      </c>
      <c r="CS958">
        <v>0</v>
      </c>
      <c r="CT958">
        <v>2</v>
      </c>
      <c r="CU958">
        <v>0</v>
      </c>
      <c r="CV958">
        <v>2</v>
      </c>
      <c r="CW958">
        <v>0</v>
      </c>
      <c r="CX958">
        <v>5</v>
      </c>
      <c r="CY958">
        <v>7</v>
      </c>
      <c r="CZ958" t="s">
        <v>131</v>
      </c>
      <c r="DA958">
        <v>116</v>
      </c>
      <c r="DB958">
        <v>3</v>
      </c>
      <c r="DC958" t="s">
        <v>132</v>
      </c>
      <c r="DD958" t="s">
        <v>133</v>
      </c>
      <c r="DG958">
        <v>8425529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1</v>
      </c>
      <c r="DQ958">
        <v>0</v>
      </c>
      <c r="DR958">
        <v>0</v>
      </c>
      <c r="DS958">
        <v>0</v>
      </c>
    </row>
    <row r="959" spans="1:123" x14ac:dyDescent="0.25">
      <c r="A959" t="str">
        <f>"11/29/2023 20:26:21.883"</f>
        <v>11/29/2023 20:26:21.883</v>
      </c>
      <c r="C959" t="str">
        <f t="shared" si="109"/>
        <v>FFDF53C0</v>
      </c>
      <c r="D959" t="s">
        <v>135</v>
      </c>
      <c r="E959">
        <v>31</v>
      </c>
      <c r="H959">
        <v>285</v>
      </c>
      <c r="I959" t="s">
        <v>136</v>
      </c>
      <c r="J959" t="s">
        <v>137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 t="shared" si="113"/>
        <v>20:26:21.438</v>
      </c>
      <c r="T959" t="str">
        <f t="shared" si="113"/>
        <v>20:26:21.438</v>
      </c>
      <c r="U959" t="str">
        <f t="shared" si="107"/>
        <v>AA0632</v>
      </c>
      <c r="V959">
        <v>0</v>
      </c>
      <c r="W959">
        <v>0</v>
      </c>
      <c r="X959">
        <v>2</v>
      </c>
      <c r="Y959">
        <v>0</v>
      </c>
      <c r="AA959">
        <v>0</v>
      </c>
      <c r="AB959">
        <v>9</v>
      </c>
      <c r="AC959">
        <v>3</v>
      </c>
      <c r="AD959">
        <v>0</v>
      </c>
      <c r="AE959">
        <v>10</v>
      </c>
      <c r="AF959" t="s">
        <v>126</v>
      </c>
      <c r="AG959">
        <v>0</v>
      </c>
      <c r="AH959">
        <v>0</v>
      </c>
      <c r="AI959">
        <v>2</v>
      </c>
      <c r="AJ959">
        <v>0</v>
      </c>
      <c r="AK959" t="s">
        <v>589</v>
      </c>
      <c r="AL959">
        <v>31.922965000000001</v>
      </c>
      <c r="AM959" t="s">
        <v>599</v>
      </c>
      <c r="AN959">
        <v>-100.975127</v>
      </c>
      <c r="AQ959" t="s">
        <v>129</v>
      </c>
      <c r="AR959">
        <v>98</v>
      </c>
      <c r="AS959">
        <v>-1</v>
      </c>
      <c r="AT959">
        <v>256</v>
      </c>
      <c r="BB959" t="str">
        <f t="shared" si="108"/>
        <v>1200</v>
      </c>
      <c r="BC959">
        <v>1</v>
      </c>
      <c r="BD959" t="str">
        <f t="shared" si="110"/>
        <v xml:space="preserve">N745MB  </v>
      </c>
      <c r="BE959">
        <v>1</v>
      </c>
      <c r="BG959">
        <v>0</v>
      </c>
      <c r="BH959">
        <v>0</v>
      </c>
      <c r="BI959">
        <v>0</v>
      </c>
      <c r="BL959" t="s">
        <v>130</v>
      </c>
      <c r="BM959">
        <v>1</v>
      </c>
      <c r="BN959">
        <v>0</v>
      </c>
      <c r="BO959">
        <v>0</v>
      </c>
      <c r="BP959">
        <v>0</v>
      </c>
      <c r="BT959">
        <v>0</v>
      </c>
      <c r="BU959">
        <v>0</v>
      </c>
      <c r="CE959" t="str">
        <f>"20:26:21.445"</f>
        <v>20:26:21.445</v>
      </c>
      <c r="CF959">
        <v>444773824</v>
      </c>
      <c r="CS959">
        <v>0</v>
      </c>
      <c r="CT959">
        <v>2</v>
      </c>
      <c r="CU959">
        <v>0</v>
      </c>
      <c r="CV959">
        <v>2</v>
      </c>
      <c r="CW959">
        <v>0</v>
      </c>
      <c r="CX959">
        <v>5</v>
      </c>
      <c r="CY959">
        <v>7</v>
      </c>
      <c r="CZ959" t="s">
        <v>131</v>
      </c>
      <c r="DA959">
        <v>116</v>
      </c>
      <c r="DB959">
        <v>3</v>
      </c>
      <c r="DC959" t="s">
        <v>132</v>
      </c>
      <c r="DD959" t="s">
        <v>133</v>
      </c>
      <c r="DG959">
        <v>8425529</v>
      </c>
      <c r="DI959">
        <v>0</v>
      </c>
      <c r="DJ959">
        <v>0</v>
      </c>
      <c r="DK959">
        <v>1</v>
      </c>
      <c r="DL959">
        <v>0</v>
      </c>
      <c r="DM959">
        <v>0</v>
      </c>
      <c r="DN959">
        <v>0</v>
      </c>
      <c r="DO959">
        <v>0</v>
      </c>
      <c r="DP959">
        <v>1</v>
      </c>
      <c r="DQ959">
        <v>0</v>
      </c>
      <c r="DR959">
        <v>0</v>
      </c>
      <c r="DS959">
        <v>0</v>
      </c>
    </row>
    <row r="960" spans="1:123" x14ac:dyDescent="0.25">
      <c r="A960" t="str">
        <f>"11/29/2023 20:26:21.883"</f>
        <v>11/29/2023 20:26:21.883</v>
      </c>
      <c r="C960" t="str">
        <f t="shared" si="109"/>
        <v>FFDF53C0</v>
      </c>
      <c r="D960" t="s">
        <v>123</v>
      </c>
      <c r="E960">
        <v>1</v>
      </c>
      <c r="F960">
        <v>1001</v>
      </c>
      <c r="G960" t="s">
        <v>134</v>
      </c>
      <c r="J960" t="s">
        <v>125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 t="shared" si="113"/>
        <v>20:26:21.438</v>
      </c>
      <c r="T960" t="str">
        <f t="shared" si="113"/>
        <v>20:26:21.438</v>
      </c>
      <c r="U960" t="str">
        <f t="shared" si="107"/>
        <v>AA0632</v>
      </c>
      <c r="V960">
        <v>0</v>
      </c>
      <c r="W960">
        <v>0</v>
      </c>
      <c r="X960">
        <v>2</v>
      </c>
      <c r="Y960">
        <v>0</v>
      </c>
      <c r="AA960">
        <v>0</v>
      </c>
      <c r="AB960">
        <v>9</v>
      </c>
      <c r="AC960">
        <v>3</v>
      </c>
      <c r="AD960">
        <v>0</v>
      </c>
      <c r="AE960">
        <v>10</v>
      </c>
      <c r="AF960" t="s">
        <v>126</v>
      </c>
      <c r="AG960">
        <v>0</v>
      </c>
      <c r="AH960">
        <v>0</v>
      </c>
      <c r="AI960">
        <v>2</v>
      </c>
      <c r="AJ960">
        <v>0</v>
      </c>
      <c r="AK960" t="s">
        <v>589</v>
      </c>
      <c r="AL960">
        <v>31.922965000000001</v>
      </c>
      <c r="AM960" t="s">
        <v>599</v>
      </c>
      <c r="AN960">
        <v>-100.975127</v>
      </c>
      <c r="AQ960" t="s">
        <v>129</v>
      </c>
      <c r="AR960">
        <v>98</v>
      </c>
      <c r="AS960">
        <v>-1</v>
      </c>
      <c r="AT960">
        <v>256</v>
      </c>
      <c r="BB960" t="str">
        <f t="shared" si="108"/>
        <v>1200</v>
      </c>
      <c r="BC960">
        <v>1</v>
      </c>
      <c r="BD960" t="str">
        <f t="shared" si="110"/>
        <v xml:space="preserve">N745MB  </v>
      </c>
      <c r="BE960">
        <v>1</v>
      </c>
      <c r="BG960">
        <v>0</v>
      </c>
      <c r="BH960">
        <v>0</v>
      </c>
      <c r="BI960">
        <v>0</v>
      </c>
      <c r="BL960" t="s">
        <v>130</v>
      </c>
      <c r="BM960">
        <v>1</v>
      </c>
      <c r="BN960">
        <v>0</v>
      </c>
      <c r="BO960">
        <v>0</v>
      </c>
      <c r="BP960">
        <v>0</v>
      </c>
      <c r="BT960">
        <v>0</v>
      </c>
      <c r="BU960">
        <v>0</v>
      </c>
      <c r="CE960" t="str">
        <f>"20:26:21.445"</f>
        <v>20:26:21.445</v>
      </c>
      <c r="CF960">
        <v>444773824</v>
      </c>
      <c r="CS960">
        <v>0</v>
      </c>
      <c r="CT960">
        <v>2</v>
      </c>
      <c r="CU960">
        <v>0</v>
      </c>
      <c r="CV960">
        <v>2</v>
      </c>
      <c r="CW960">
        <v>0</v>
      </c>
      <c r="CX960">
        <v>5</v>
      </c>
      <c r="CY960">
        <v>7</v>
      </c>
      <c r="CZ960" t="s">
        <v>131</v>
      </c>
      <c r="DA960">
        <v>116</v>
      </c>
      <c r="DB960">
        <v>3</v>
      </c>
      <c r="DC960" t="s">
        <v>132</v>
      </c>
      <c r="DD960" t="s">
        <v>133</v>
      </c>
      <c r="DG960">
        <v>8425529</v>
      </c>
      <c r="DI960">
        <v>0</v>
      </c>
      <c r="DJ960">
        <v>0</v>
      </c>
      <c r="DK960">
        <v>1</v>
      </c>
      <c r="DL960">
        <v>0</v>
      </c>
      <c r="DM960">
        <v>0</v>
      </c>
      <c r="DN960">
        <v>0</v>
      </c>
      <c r="DO960">
        <v>0</v>
      </c>
      <c r="DP960">
        <v>1</v>
      </c>
      <c r="DQ960">
        <v>0</v>
      </c>
      <c r="DR960">
        <v>0</v>
      </c>
      <c r="DS960">
        <v>0</v>
      </c>
    </row>
    <row r="961" spans="1:123" x14ac:dyDescent="0.25">
      <c r="A961" t="str">
        <f>"11/29/2023 20:26:21.883"</f>
        <v>11/29/2023 20:26:21.883</v>
      </c>
      <c r="C961" t="str">
        <f t="shared" si="109"/>
        <v>FFDF53C0</v>
      </c>
      <c r="D961" t="s">
        <v>138</v>
      </c>
      <c r="E961">
        <v>3</v>
      </c>
      <c r="H961">
        <v>160</v>
      </c>
      <c r="I961" t="s">
        <v>124</v>
      </c>
      <c r="J961" t="s">
        <v>139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 t="shared" si="113"/>
        <v>20:26:21.438</v>
      </c>
      <c r="T961" t="str">
        <f t="shared" si="113"/>
        <v>20:26:21.438</v>
      </c>
      <c r="U961" t="str">
        <f t="shared" si="107"/>
        <v>AA0632</v>
      </c>
      <c r="V961">
        <v>0</v>
      </c>
      <c r="W961">
        <v>0</v>
      </c>
      <c r="X961">
        <v>2</v>
      </c>
      <c r="Y961">
        <v>0</v>
      </c>
      <c r="AA961">
        <v>0</v>
      </c>
      <c r="AB961">
        <v>9</v>
      </c>
      <c r="AC961">
        <v>3</v>
      </c>
      <c r="AD961">
        <v>0</v>
      </c>
      <c r="AE961">
        <v>10</v>
      </c>
      <c r="AF961" t="s">
        <v>126</v>
      </c>
      <c r="AG961">
        <v>0</v>
      </c>
      <c r="AH961">
        <v>0</v>
      </c>
      <c r="AI961">
        <v>2</v>
      </c>
      <c r="AJ961">
        <v>0</v>
      </c>
      <c r="AK961" t="s">
        <v>589</v>
      </c>
      <c r="AL961">
        <v>31.922965000000001</v>
      </c>
      <c r="AM961" t="s">
        <v>599</v>
      </c>
      <c r="AN961">
        <v>-100.975127</v>
      </c>
      <c r="AQ961" t="s">
        <v>129</v>
      </c>
      <c r="AR961">
        <v>98</v>
      </c>
      <c r="AS961">
        <v>-1</v>
      </c>
      <c r="AT961">
        <v>256</v>
      </c>
      <c r="BB961" t="str">
        <f t="shared" si="108"/>
        <v>1200</v>
      </c>
      <c r="BC961">
        <v>1</v>
      </c>
      <c r="BD961" t="str">
        <f t="shared" si="110"/>
        <v xml:space="preserve">N745MB  </v>
      </c>
      <c r="BE961">
        <v>1</v>
      </c>
      <c r="BG961">
        <v>0</v>
      </c>
      <c r="BH961">
        <v>0</v>
      </c>
      <c r="BI961">
        <v>0</v>
      </c>
      <c r="BL961" t="s">
        <v>130</v>
      </c>
      <c r="BM961">
        <v>1</v>
      </c>
      <c r="BN961">
        <v>0</v>
      </c>
      <c r="BO961">
        <v>0</v>
      </c>
      <c r="BP961">
        <v>0</v>
      </c>
      <c r="BT961">
        <v>0</v>
      </c>
      <c r="BU961">
        <v>0</v>
      </c>
      <c r="CE961" t="str">
        <f>"20:26:21.445"</f>
        <v>20:26:21.445</v>
      </c>
      <c r="CF961">
        <v>444773824</v>
      </c>
      <c r="CS961">
        <v>0</v>
      </c>
      <c r="CT961">
        <v>2</v>
      </c>
      <c r="CU961">
        <v>0</v>
      </c>
      <c r="CV961">
        <v>2</v>
      </c>
      <c r="CW961">
        <v>0</v>
      </c>
      <c r="CX961">
        <v>5</v>
      </c>
      <c r="CY961">
        <v>7</v>
      </c>
      <c r="CZ961" t="s">
        <v>131</v>
      </c>
      <c r="DA961">
        <v>116</v>
      </c>
      <c r="DB961">
        <v>3</v>
      </c>
      <c r="DC961" t="s">
        <v>132</v>
      </c>
      <c r="DD961" t="s">
        <v>133</v>
      </c>
      <c r="DG961">
        <v>8425529</v>
      </c>
      <c r="DI961">
        <v>0</v>
      </c>
      <c r="DJ961">
        <v>0</v>
      </c>
      <c r="DK961">
        <v>1</v>
      </c>
      <c r="DL961">
        <v>0</v>
      </c>
      <c r="DM961">
        <v>0</v>
      </c>
      <c r="DN961">
        <v>0</v>
      </c>
      <c r="DO961">
        <v>0</v>
      </c>
      <c r="DP961">
        <v>1</v>
      </c>
      <c r="DQ961">
        <v>0</v>
      </c>
      <c r="DR961">
        <v>0</v>
      </c>
      <c r="DS961">
        <v>0</v>
      </c>
    </row>
    <row r="962" spans="1:123" x14ac:dyDescent="0.25">
      <c r="A962" t="str">
        <f>"11/29/2023 20:26:23.399"</f>
        <v>11/29/2023 20:26:23.399</v>
      </c>
      <c r="C962" t="str">
        <f t="shared" si="109"/>
        <v>FFDF53C0</v>
      </c>
      <c r="D962" t="s">
        <v>135</v>
      </c>
      <c r="E962">
        <v>31</v>
      </c>
      <c r="H962">
        <v>285</v>
      </c>
      <c r="I962" t="s">
        <v>136</v>
      </c>
      <c r="J962" t="s">
        <v>137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>"20:26:22.945"</f>
        <v>20:26:22.945</v>
      </c>
      <c r="T962" t="str">
        <f>"20:26:22.845"</f>
        <v>20:26:22.845</v>
      </c>
      <c r="U962" t="str">
        <f t="shared" ref="U962:U1025" si="114">"AA0632"</f>
        <v>AA0632</v>
      </c>
      <c r="V962">
        <v>0</v>
      </c>
      <c r="W962">
        <v>0</v>
      </c>
      <c r="X962">
        <v>2</v>
      </c>
      <c r="Y962">
        <v>0</v>
      </c>
      <c r="AA962">
        <v>0</v>
      </c>
      <c r="AB962">
        <v>9</v>
      </c>
      <c r="AC962">
        <v>3</v>
      </c>
      <c r="AD962">
        <v>0</v>
      </c>
      <c r="AE962">
        <v>10</v>
      </c>
      <c r="AF962" t="s">
        <v>126</v>
      </c>
      <c r="AG962">
        <v>0</v>
      </c>
      <c r="AH962">
        <v>0</v>
      </c>
      <c r="AI962">
        <v>2</v>
      </c>
      <c r="AJ962">
        <v>0</v>
      </c>
      <c r="AK962" t="s">
        <v>589</v>
      </c>
      <c r="AL962">
        <v>31.922965000000001</v>
      </c>
      <c r="AM962" t="s">
        <v>600</v>
      </c>
      <c r="AN962">
        <v>-100.974333</v>
      </c>
      <c r="AQ962" t="s">
        <v>129</v>
      </c>
      <c r="AR962">
        <v>96</v>
      </c>
      <c r="AS962">
        <v>-2</v>
      </c>
      <c r="AT962">
        <v>64</v>
      </c>
      <c r="BB962" t="str">
        <f t="shared" ref="BB962:BB1025" si="115">"1200"</f>
        <v>1200</v>
      </c>
      <c r="BC962">
        <v>1</v>
      </c>
      <c r="BD962" t="str">
        <f t="shared" si="110"/>
        <v xml:space="preserve">N745MB  </v>
      </c>
      <c r="BE962">
        <v>1</v>
      </c>
      <c r="BG962">
        <v>0</v>
      </c>
      <c r="BH962">
        <v>0</v>
      </c>
      <c r="BI962">
        <v>0</v>
      </c>
      <c r="BL962" t="s">
        <v>130</v>
      </c>
      <c r="BM962">
        <v>1</v>
      </c>
      <c r="BN962">
        <v>0</v>
      </c>
      <c r="BO962">
        <v>0</v>
      </c>
      <c r="BP962">
        <v>0</v>
      </c>
      <c r="BT962">
        <v>0</v>
      </c>
      <c r="BU962">
        <v>0</v>
      </c>
      <c r="CE962" t="str">
        <f>"20:26:22.947"</f>
        <v>20:26:22.947</v>
      </c>
      <c r="CF962">
        <v>946673281</v>
      </c>
      <c r="CS962">
        <v>0</v>
      </c>
      <c r="CT962">
        <v>2</v>
      </c>
      <c r="CU962">
        <v>0</v>
      </c>
      <c r="CV962">
        <v>2</v>
      </c>
      <c r="CW962">
        <v>0</v>
      </c>
      <c r="CX962">
        <v>5</v>
      </c>
      <c r="CY962">
        <v>7</v>
      </c>
      <c r="CZ962" t="s">
        <v>131</v>
      </c>
      <c r="DA962">
        <v>116</v>
      </c>
      <c r="DB962">
        <v>3</v>
      </c>
      <c r="DC962" t="s">
        <v>132</v>
      </c>
      <c r="DD962" t="s">
        <v>133</v>
      </c>
      <c r="DG962">
        <v>8426313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1</v>
      </c>
      <c r="DQ962">
        <v>0</v>
      </c>
      <c r="DR962">
        <v>0</v>
      </c>
      <c r="DS962">
        <v>0</v>
      </c>
    </row>
    <row r="963" spans="1:123" x14ac:dyDescent="0.25">
      <c r="A963" t="str">
        <f>"11/29/2023 20:26:23.399"</f>
        <v>11/29/2023 20:26:23.399</v>
      </c>
      <c r="C963" t="str">
        <f t="shared" si="109"/>
        <v>FFDF53C0</v>
      </c>
      <c r="D963" t="s">
        <v>138</v>
      </c>
      <c r="E963">
        <v>3</v>
      </c>
      <c r="H963">
        <v>160</v>
      </c>
      <c r="I963" t="s">
        <v>124</v>
      </c>
      <c r="J963" t="s">
        <v>139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>"20:26:22.945"</f>
        <v>20:26:22.945</v>
      </c>
      <c r="T963" t="str">
        <f>"20:26:22.845"</f>
        <v>20:26:22.845</v>
      </c>
      <c r="U963" t="str">
        <f t="shared" si="114"/>
        <v>AA0632</v>
      </c>
      <c r="V963">
        <v>0</v>
      </c>
      <c r="W963">
        <v>0</v>
      </c>
      <c r="X963">
        <v>2</v>
      </c>
      <c r="Y963">
        <v>0</v>
      </c>
      <c r="AA963">
        <v>0</v>
      </c>
      <c r="AB963">
        <v>9</v>
      </c>
      <c r="AC963">
        <v>3</v>
      </c>
      <c r="AD963">
        <v>0</v>
      </c>
      <c r="AE963">
        <v>10</v>
      </c>
      <c r="AF963" t="s">
        <v>126</v>
      </c>
      <c r="AG963">
        <v>0</v>
      </c>
      <c r="AH963">
        <v>0</v>
      </c>
      <c r="AI963">
        <v>2</v>
      </c>
      <c r="AJ963">
        <v>0</v>
      </c>
      <c r="AK963" t="s">
        <v>589</v>
      </c>
      <c r="AL963">
        <v>31.922965000000001</v>
      </c>
      <c r="AM963" t="s">
        <v>600</v>
      </c>
      <c r="AN963">
        <v>-100.974333</v>
      </c>
      <c r="AQ963" t="s">
        <v>129</v>
      </c>
      <c r="AR963">
        <v>96</v>
      </c>
      <c r="AS963">
        <v>-2</v>
      </c>
      <c r="AT963">
        <v>64</v>
      </c>
      <c r="BB963" t="str">
        <f t="shared" si="115"/>
        <v>1200</v>
      </c>
      <c r="BC963">
        <v>1</v>
      </c>
      <c r="BD963" t="str">
        <f t="shared" si="110"/>
        <v xml:space="preserve">N745MB  </v>
      </c>
      <c r="BE963">
        <v>1</v>
      </c>
      <c r="BG963">
        <v>0</v>
      </c>
      <c r="BH963">
        <v>0</v>
      </c>
      <c r="BI963">
        <v>0</v>
      </c>
      <c r="BL963" t="s">
        <v>130</v>
      </c>
      <c r="BM963">
        <v>1</v>
      </c>
      <c r="BN963">
        <v>0</v>
      </c>
      <c r="BO963">
        <v>0</v>
      </c>
      <c r="BP963">
        <v>0</v>
      </c>
      <c r="BT963">
        <v>0</v>
      </c>
      <c r="BU963">
        <v>0</v>
      </c>
      <c r="CE963" t="str">
        <f>"20:26:22.947"</f>
        <v>20:26:22.947</v>
      </c>
      <c r="CF963">
        <v>946673281</v>
      </c>
      <c r="CS963">
        <v>0</v>
      </c>
      <c r="CT963">
        <v>2</v>
      </c>
      <c r="CU963">
        <v>0</v>
      </c>
      <c r="CV963">
        <v>2</v>
      </c>
      <c r="CW963">
        <v>0</v>
      </c>
      <c r="CX963">
        <v>5</v>
      </c>
      <c r="CY963">
        <v>7</v>
      </c>
      <c r="CZ963" t="s">
        <v>131</v>
      </c>
      <c r="DA963">
        <v>116</v>
      </c>
      <c r="DB963">
        <v>3</v>
      </c>
      <c r="DC963" t="s">
        <v>132</v>
      </c>
      <c r="DD963" t="s">
        <v>133</v>
      </c>
      <c r="DG963">
        <v>8426313</v>
      </c>
      <c r="DI963">
        <v>0</v>
      </c>
      <c r="DJ963">
        <v>0</v>
      </c>
      <c r="DK963">
        <v>1</v>
      </c>
      <c r="DL963">
        <v>0</v>
      </c>
      <c r="DM963">
        <v>0</v>
      </c>
      <c r="DN963">
        <v>0</v>
      </c>
      <c r="DO963">
        <v>0</v>
      </c>
      <c r="DP963">
        <v>1</v>
      </c>
      <c r="DQ963">
        <v>0</v>
      </c>
      <c r="DR963">
        <v>0</v>
      </c>
      <c r="DS963">
        <v>0</v>
      </c>
    </row>
    <row r="964" spans="1:123" x14ac:dyDescent="0.25">
      <c r="A964" t="str">
        <f>"11/29/2023 20:26:23.399"</f>
        <v>11/29/2023 20:26:23.399</v>
      </c>
      <c r="C964" t="str">
        <f t="shared" si="109"/>
        <v>FFDF53C0</v>
      </c>
      <c r="D964" t="s">
        <v>123</v>
      </c>
      <c r="E964">
        <v>1</v>
      </c>
      <c r="F964">
        <v>1001</v>
      </c>
      <c r="G964" t="s">
        <v>134</v>
      </c>
      <c r="J964" t="s">
        <v>125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>"20:26:22.945"</f>
        <v>20:26:22.945</v>
      </c>
      <c r="T964" t="str">
        <f>"20:26:22.845"</f>
        <v>20:26:22.845</v>
      </c>
      <c r="U964" t="str">
        <f t="shared" si="114"/>
        <v>AA0632</v>
      </c>
      <c r="V964">
        <v>0</v>
      </c>
      <c r="W964">
        <v>0</v>
      </c>
      <c r="X964">
        <v>2</v>
      </c>
      <c r="Y964">
        <v>0</v>
      </c>
      <c r="AA964">
        <v>0</v>
      </c>
      <c r="AB964">
        <v>9</v>
      </c>
      <c r="AC964">
        <v>3</v>
      </c>
      <c r="AD964">
        <v>0</v>
      </c>
      <c r="AE964">
        <v>10</v>
      </c>
      <c r="AF964" t="s">
        <v>126</v>
      </c>
      <c r="AG964">
        <v>0</v>
      </c>
      <c r="AH964">
        <v>0</v>
      </c>
      <c r="AI964">
        <v>2</v>
      </c>
      <c r="AJ964">
        <v>0</v>
      </c>
      <c r="AK964" t="s">
        <v>589</v>
      </c>
      <c r="AL964">
        <v>31.922965000000001</v>
      </c>
      <c r="AM964" t="s">
        <v>600</v>
      </c>
      <c r="AN964">
        <v>-100.974333</v>
      </c>
      <c r="AQ964" t="s">
        <v>129</v>
      </c>
      <c r="AR964">
        <v>96</v>
      </c>
      <c r="AS964">
        <v>-2</v>
      </c>
      <c r="AT964">
        <v>64</v>
      </c>
      <c r="BB964" t="str">
        <f t="shared" si="115"/>
        <v>1200</v>
      </c>
      <c r="BC964">
        <v>1</v>
      </c>
      <c r="BD964" t="str">
        <f t="shared" si="110"/>
        <v xml:space="preserve">N745MB  </v>
      </c>
      <c r="BE964">
        <v>1</v>
      </c>
      <c r="BG964">
        <v>0</v>
      </c>
      <c r="BH964">
        <v>0</v>
      </c>
      <c r="BI964">
        <v>0</v>
      </c>
      <c r="BL964" t="s">
        <v>130</v>
      </c>
      <c r="BM964">
        <v>1</v>
      </c>
      <c r="BN964">
        <v>0</v>
      </c>
      <c r="BO964">
        <v>0</v>
      </c>
      <c r="BP964">
        <v>0</v>
      </c>
      <c r="BT964">
        <v>0</v>
      </c>
      <c r="BU964">
        <v>0</v>
      </c>
      <c r="CE964" t="str">
        <f>"20:26:22.947"</f>
        <v>20:26:22.947</v>
      </c>
      <c r="CF964">
        <v>946673281</v>
      </c>
      <c r="CS964">
        <v>0</v>
      </c>
      <c r="CT964">
        <v>2</v>
      </c>
      <c r="CU964">
        <v>0</v>
      </c>
      <c r="CV964">
        <v>2</v>
      </c>
      <c r="CW964">
        <v>0</v>
      </c>
      <c r="CX964">
        <v>5</v>
      </c>
      <c r="CY964">
        <v>7</v>
      </c>
      <c r="CZ964" t="s">
        <v>131</v>
      </c>
      <c r="DA964">
        <v>116</v>
      </c>
      <c r="DB964">
        <v>3</v>
      </c>
      <c r="DC964" t="s">
        <v>132</v>
      </c>
      <c r="DD964" t="s">
        <v>133</v>
      </c>
      <c r="DG964">
        <v>8426313</v>
      </c>
      <c r="DI964">
        <v>0</v>
      </c>
      <c r="DJ964">
        <v>0</v>
      </c>
      <c r="DK964">
        <v>1</v>
      </c>
      <c r="DL964">
        <v>0</v>
      </c>
      <c r="DM964">
        <v>0</v>
      </c>
      <c r="DN964">
        <v>0</v>
      </c>
      <c r="DO964">
        <v>0</v>
      </c>
      <c r="DP964">
        <v>1</v>
      </c>
      <c r="DQ964">
        <v>0</v>
      </c>
      <c r="DR964">
        <v>0</v>
      </c>
      <c r="DS964">
        <v>0</v>
      </c>
    </row>
    <row r="965" spans="1:123" x14ac:dyDescent="0.25">
      <c r="A965" t="str">
        <f>"11/29/2023 20:26:23.493"</f>
        <v>11/29/2023 20:26:23.493</v>
      </c>
      <c r="C965" t="str">
        <f t="shared" si="109"/>
        <v>FFDF53C0</v>
      </c>
      <c r="D965" t="s">
        <v>123</v>
      </c>
      <c r="E965">
        <v>14</v>
      </c>
      <c r="F965">
        <v>1014</v>
      </c>
      <c r="G965" t="s">
        <v>124</v>
      </c>
      <c r="J965" t="s">
        <v>125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"20:26:22.945"</f>
        <v>20:26:22.945</v>
      </c>
      <c r="T965" t="str">
        <f>"20:26:22.845"</f>
        <v>20:26:22.845</v>
      </c>
      <c r="U965" t="str">
        <f t="shared" si="114"/>
        <v>AA0632</v>
      </c>
      <c r="V965">
        <v>0</v>
      </c>
      <c r="W965">
        <v>0</v>
      </c>
      <c r="X965">
        <v>2</v>
      </c>
      <c r="Y965">
        <v>0</v>
      </c>
      <c r="AA965">
        <v>0</v>
      </c>
      <c r="AB965">
        <v>9</v>
      </c>
      <c r="AC965">
        <v>3</v>
      </c>
      <c r="AD965">
        <v>0</v>
      </c>
      <c r="AE965">
        <v>10</v>
      </c>
      <c r="AF965" t="s">
        <v>126</v>
      </c>
      <c r="AG965">
        <v>0</v>
      </c>
      <c r="AH965">
        <v>0</v>
      </c>
      <c r="AI965">
        <v>2</v>
      </c>
      <c r="AJ965">
        <v>0</v>
      </c>
      <c r="AK965" t="s">
        <v>589</v>
      </c>
      <c r="AL965">
        <v>31.922965000000001</v>
      </c>
      <c r="AM965" t="s">
        <v>600</v>
      </c>
      <c r="AN965">
        <v>-100.974333</v>
      </c>
      <c r="AQ965" t="s">
        <v>129</v>
      </c>
      <c r="AR965">
        <v>96</v>
      </c>
      <c r="AS965">
        <v>-2</v>
      </c>
      <c r="AT965">
        <v>64</v>
      </c>
      <c r="BB965" t="str">
        <f t="shared" si="115"/>
        <v>1200</v>
      </c>
      <c r="BC965">
        <v>1</v>
      </c>
      <c r="BD965" t="str">
        <f t="shared" si="110"/>
        <v xml:space="preserve">N745MB  </v>
      </c>
      <c r="BE965">
        <v>1</v>
      </c>
      <c r="BG965">
        <v>0</v>
      </c>
      <c r="BH965">
        <v>0</v>
      </c>
      <c r="BI965">
        <v>0</v>
      </c>
      <c r="BL965" t="s">
        <v>130</v>
      </c>
      <c r="BM965">
        <v>1</v>
      </c>
      <c r="BN965">
        <v>0</v>
      </c>
      <c r="BO965">
        <v>0</v>
      </c>
      <c r="BP965">
        <v>0</v>
      </c>
      <c r="BT965">
        <v>0</v>
      </c>
      <c r="BU965">
        <v>0</v>
      </c>
      <c r="CE965" t="str">
        <f>"20:26:22.947"</f>
        <v>20:26:22.947</v>
      </c>
      <c r="CF965">
        <v>946673281</v>
      </c>
      <c r="CS965">
        <v>0</v>
      </c>
      <c r="CT965">
        <v>2</v>
      </c>
      <c r="CU965">
        <v>0</v>
      </c>
      <c r="CV965">
        <v>2</v>
      </c>
      <c r="CW965">
        <v>0</v>
      </c>
      <c r="CX965">
        <v>5</v>
      </c>
      <c r="CY965">
        <v>7</v>
      </c>
      <c r="CZ965" t="s">
        <v>131</v>
      </c>
      <c r="DA965">
        <v>116</v>
      </c>
      <c r="DB965">
        <v>3</v>
      </c>
      <c r="DC965" t="s">
        <v>132</v>
      </c>
      <c r="DD965" t="s">
        <v>133</v>
      </c>
      <c r="DG965">
        <v>8426313</v>
      </c>
      <c r="DI965">
        <v>0</v>
      </c>
      <c r="DJ965">
        <v>0</v>
      </c>
      <c r="DK965">
        <v>1</v>
      </c>
      <c r="DL965">
        <v>0</v>
      </c>
      <c r="DM965">
        <v>0</v>
      </c>
      <c r="DN965">
        <v>0</v>
      </c>
      <c r="DO965">
        <v>0</v>
      </c>
      <c r="DP965">
        <v>1</v>
      </c>
      <c r="DQ965">
        <v>0</v>
      </c>
      <c r="DR965">
        <v>0</v>
      </c>
      <c r="DS965">
        <v>0</v>
      </c>
    </row>
    <row r="966" spans="1:123" x14ac:dyDescent="0.25">
      <c r="A966" t="str">
        <f>"11/29/2023 20:26:24.321"</f>
        <v>11/29/2023 20:26:24.321</v>
      </c>
      <c r="C966" t="str">
        <f t="shared" si="109"/>
        <v>FFDF53C0</v>
      </c>
      <c r="D966" t="s">
        <v>123</v>
      </c>
      <c r="E966">
        <v>14</v>
      </c>
      <c r="F966">
        <v>1014</v>
      </c>
      <c r="G966" t="s">
        <v>124</v>
      </c>
      <c r="J966" t="s">
        <v>125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"20:26:23.977"</f>
        <v>20:26:23.977</v>
      </c>
      <c r="T966" t="str">
        <f>"20:26:21.977"</f>
        <v>20:26:21.977</v>
      </c>
      <c r="U966" t="str">
        <f t="shared" si="114"/>
        <v>AA0632</v>
      </c>
      <c r="V966">
        <v>0</v>
      </c>
      <c r="W966">
        <v>0</v>
      </c>
      <c r="X966">
        <v>2</v>
      </c>
      <c r="Y966">
        <v>0</v>
      </c>
      <c r="AA966">
        <v>0</v>
      </c>
      <c r="AB966">
        <v>9</v>
      </c>
      <c r="AC966">
        <v>3</v>
      </c>
      <c r="AD966">
        <v>0</v>
      </c>
      <c r="AE966">
        <v>10</v>
      </c>
      <c r="AF966" t="s">
        <v>126</v>
      </c>
      <c r="AG966">
        <v>0</v>
      </c>
      <c r="AH966">
        <v>0</v>
      </c>
      <c r="AI966">
        <v>2</v>
      </c>
      <c r="AJ966">
        <v>0</v>
      </c>
      <c r="AK966" t="s">
        <v>589</v>
      </c>
      <c r="AL966">
        <v>31.922965000000001</v>
      </c>
      <c r="AM966" t="s">
        <v>601</v>
      </c>
      <c r="AN966">
        <v>-100.97381799999999</v>
      </c>
      <c r="AQ966" t="s">
        <v>129</v>
      </c>
      <c r="AR966">
        <v>97</v>
      </c>
      <c r="AS966">
        <v>-1</v>
      </c>
      <c r="AT966">
        <v>192</v>
      </c>
      <c r="BB966" t="str">
        <f t="shared" si="115"/>
        <v>1200</v>
      </c>
      <c r="BC966">
        <v>1</v>
      </c>
      <c r="BD966" t="str">
        <f t="shared" si="110"/>
        <v xml:space="preserve">N745MB  </v>
      </c>
      <c r="BE966">
        <v>1</v>
      </c>
      <c r="BG966">
        <v>0</v>
      </c>
      <c r="BH966">
        <v>0</v>
      </c>
      <c r="BI966">
        <v>0</v>
      </c>
      <c r="BL966" t="s">
        <v>130</v>
      </c>
      <c r="BM966">
        <v>1</v>
      </c>
      <c r="BN966">
        <v>0</v>
      </c>
      <c r="BO966">
        <v>0</v>
      </c>
      <c r="BP966">
        <v>0</v>
      </c>
      <c r="BT966">
        <v>0</v>
      </c>
      <c r="BU966">
        <v>0</v>
      </c>
      <c r="CE966" t="str">
        <f>"20:26:23.981"</f>
        <v>20:26:23.981</v>
      </c>
      <c r="CF966">
        <v>980607949</v>
      </c>
      <c r="CS966">
        <v>0</v>
      </c>
      <c r="CT966">
        <v>2</v>
      </c>
      <c r="CU966">
        <v>0</v>
      </c>
      <c r="CV966">
        <v>2</v>
      </c>
      <c r="CW966">
        <v>0</v>
      </c>
      <c r="CX966">
        <v>2</v>
      </c>
      <c r="CY966">
        <v>7</v>
      </c>
      <c r="CZ966" t="s">
        <v>131</v>
      </c>
      <c r="DA966">
        <v>483</v>
      </c>
      <c r="DB966">
        <v>0</v>
      </c>
      <c r="DC966" t="s">
        <v>169</v>
      </c>
      <c r="DD966" t="s">
        <v>170</v>
      </c>
      <c r="DG966">
        <v>7380129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1</v>
      </c>
      <c r="DQ966">
        <v>0</v>
      </c>
      <c r="DR966">
        <v>0</v>
      </c>
      <c r="DS966">
        <v>0</v>
      </c>
    </row>
    <row r="967" spans="1:123" x14ac:dyDescent="0.25">
      <c r="A967" t="str">
        <f>"11/29/2023 20:26:24.337"</f>
        <v>11/29/2023 20:26:24.337</v>
      </c>
      <c r="C967" t="str">
        <f t="shared" si="109"/>
        <v>FFDF53C0</v>
      </c>
      <c r="D967" t="s">
        <v>138</v>
      </c>
      <c r="E967">
        <v>3</v>
      </c>
      <c r="H967">
        <v>160</v>
      </c>
      <c r="I967" t="s">
        <v>124</v>
      </c>
      <c r="J967" t="s">
        <v>139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"20:26:23.977"</f>
        <v>20:26:23.977</v>
      </c>
      <c r="T967" t="str">
        <f>"20:26:21.977"</f>
        <v>20:26:21.977</v>
      </c>
      <c r="U967" t="str">
        <f t="shared" si="114"/>
        <v>AA0632</v>
      </c>
      <c r="V967">
        <v>0</v>
      </c>
      <c r="W967">
        <v>0</v>
      </c>
      <c r="X967">
        <v>2</v>
      </c>
      <c r="Y967">
        <v>0</v>
      </c>
      <c r="AA967">
        <v>0</v>
      </c>
      <c r="AB967">
        <v>9</v>
      </c>
      <c r="AC967">
        <v>3</v>
      </c>
      <c r="AD967">
        <v>0</v>
      </c>
      <c r="AE967">
        <v>10</v>
      </c>
      <c r="AF967" t="s">
        <v>126</v>
      </c>
      <c r="AG967">
        <v>0</v>
      </c>
      <c r="AH967">
        <v>0</v>
      </c>
      <c r="AI967">
        <v>2</v>
      </c>
      <c r="AJ967">
        <v>0</v>
      </c>
      <c r="AK967" t="s">
        <v>589</v>
      </c>
      <c r="AL967">
        <v>31.922965000000001</v>
      </c>
      <c r="AM967" t="s">
        <v>601</v>
      </c>
      <c r="AN967">
        <v>-100.97381799999999</v>
      </c>
      <c r="AQ967" t="s">
        <v>129</v>
      </c>
      <c r="AR967">
        <v>97</v>
      </c>
      <c r="AS967">
        <v>-1</v>
      </c>
      <c r="AT967">
        <v>192</v>
      </c>
      <c r="BB967" t="str">
        <f t="shared" si="115"/>
        <v>1200</v>
      </c>
      <c r="BC967">
        <v>1</v>
      </c>
      <c r="BD967" t="str">
        <f t="shared" si="110"/>
        <v xml:space="preserve">N745MB  </v>
      </c>
      <c r="BE967">
        <v>1</v>
      </c>
      <c r="BG967">
        <v>0</v>
      </c>
      <c r="BH967">
        <v>0</v>
      </c>
      <c r="BI967">
        <v>0</v>
      </c>
      <c r="BL967" t="s">
        <v>130</v>
      </c>
      <c r="BM967">
        <v>1</v>
      </c>
      <c r="BN967">
        <v>0</v>
      </c>
      <c r="BO967">
        <v>0</v>
      </c>
      <c r="BP967">
        <v>0</v>
      </c>
      <c r="BT967">
        <v>0</v>
      </c>
      <c r="BU967">
        <v>0</v>
      </c>
      <c r="CE967" t="str">
        <f>"20:26:23.981"</f>
        <v>20:26:23.981</v>
      </c>
      <c r="CF967">
        <v>980607949</v>
      </c>
      <c r="CS967">
        <v>0</v>
      </c>
      <c r="CT967">
        <v>2</v>
      </c>
      <c r="CU967">
        <v>0</v>
      </c>
      <c r="CV967">
        <v>2</v>
      </c>
      <c r="CW967">
        <v>0</v>
      </c>
      <c r="CX967">
        <v>2</v>
      </c>
      <c r="CY967">
        <v>7</v>
      </c>
      <c r="CZ967" t="s">
        <v>131</v>
      </c>
      <c r="DA967">
        <v>483</v>
      </c>
      <c r="DB967">
        <v>0</v>
      </c>
      <c r="DC967" t="s">
        <v>169</v>
      </c>
      <c r="DD967" t="s">
        <v>170</v>
      </c>
      <c r="DG967">
        <v>7380129</v>
      </c>
      <c r="DI967">
        <v>0</v>
      </c>
      <c r="DJ967">
        <v>0</v>
      </c>
      <c r="DK967">
        <v>1</v>
      </c>
      <c r="DL967">
        <v>0</v>
      </c>
      <c r="DM967">
        <v>0</v>
      </c>
      <c r="DN967">
        <v>0</v>
      </c>
      <c r="DO967">
        <v>0</v>
      </c>
      <c r="DP967">
        <v>1</v>
      </c>
      <c r="DQ967">
        <v>0</v>
      </c>
      <c r="DR967">
        <v>0</v>
      </c>
      <c r="DS967">
        <v>0</v>
      </c>
    </row>
    <row r="968" spans="1:123" x14ac:dyDescent="0.25">
      <c r="A968" t="str">
        <f>"11/29/2023 20:26:24.352"</f>
        <v>11/29/2023 20:26:24.352</v>
      </c>
      <c r="C968" t="str">
        <f t="shared" si="109"/>
        <v>FFDF53C0</v>
      </c>
      <c r="D968" t="s">
        <v>164</v>
      </c>
      <c r="E968">
        <v>24</v>
      </c>
      <c r="F968">
        <v>2024</v>
      </c>
      <c r="G968" t="s">
        <v>165</v>
      </c>
      <c r="J968" t="s">
        <v>166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"20:26:23.977"</f>
        <v>20:26:23.977</v>
      </c>
      <c r="T968" t="str">
        <f>"20:26:21.977"</f>
        <v>20:26:21.977</v>
      </c>
      <c r="U968" t="str">
        <f t="shared" si="114"/>
        <v>AA0632</v>
      </c>
      <c r="V968">
        <v>0</v>
      </c>
      <c r="W968">
        <v>0</v>
      </c>
      <c r="X968">
        <v>2</v>
      </c>
      <c r="Y968">
        <v>0</v>
      </c>
      <c r="AA968">
        <v>0</v>
      </c>
      <c r="AB968">
        <v>9</v>
      </c>
      <c r="AC968">
        <v>3</v>
      </c>
      <c r="AD968">
        <v>0</v>
      </c>
      <c r="AE968">
        <v>10</v>
      </c>
      <c r="AF968" t="s">
        <v>126</v>
      </c>
      <c r="AG968">
        <v>0</v>
      </c>
      <c r="AH968">
        <v>0</v>
      </c>
      <c r="AI968">
        <v>2</v>
      </c>
      <c r="AJ968">
        <v>0</v>
      </c>
      <c r="AK968" t="s">
        <v>589</v>
      </c>
      <c r="AL968">
        <v>31.922965000000001</v>
      </c>
      <c r="AM968" t="s">
        <v>601</v>
      </c>
      <c r="AN968">
        <v>-100.97381799999999</v>
      </c>
      <c r="AQ968" t="s">
        <v>129</v>
      </c>
      <c r="AR968">
        <v>97</v>
      </c>
      <c r="AS968">
        <v>-1</v>
      </c>
      <c r="AT968">
        <v>192</v>
      </c>
      <c r="BB968" t="str">
        <f t="shared" si="115"/>
        <v>1200</v>
      </c>
      <c r="BC968">
        <v>1</v>
      </c>
      <c r="BD968" t="str">
        <f t="shared" si="110"/>
        <v xml:space="preserve">N745MB  </v>
      </c>
      <c r="BE968">
        <v>1</v>
      </c>
      <c r="BG968">
        <v>0</v>
      </c>
      <c r="BH968">
        <v>0</v>
      </c>
      <c r="BI968">
        <v>0</v>
      </c>
      <c r="BL968" t="s">
        <v>130</v>
      </c>
      <c r="BM968">
        <v>1</v>
      </c>
      <c r="BN968">
        <v>0</v>
      </c>
      <c r="BO968">
        <v>0</v>
      </c>
      <c r="BP968">
        <v>0</v>
      </c>
      <c r="BT968">
        <v>0</v>
      </c>
      <c r="BU968">
        <v>0</v>
      </c>
      <c r="CE968" t="str">
        <f>"20:26:23.981"</f>
        <v>20:26:23.981</v>
      </c>
      <c r="CF968">
        <v>980607949</v>
      </c>
      <c r="CS968">
        <v>0</v>
      </c>
      <c r="CT968">
        <v>2</v>
      </c>
      <c r="CU968">
        <v>0</v>
      </c>
      <c r="CV968">
        <v>2</v>
      </c>
      <c r="CW968">
        <v>0</v>
      </c>
      <c r="CX968">
        <v>2</v>
      </c>
      <c r="CY968">
        <v>7</v>
      </c>
      <c r="CZ968" t="s">
        <v>131</v>
      </c>
      <c r="DA968">
        <v>483</v>
      </c>
      <c r="DB968">
        <v>0</v>
      </c>
      <c r="DC968" t="s">
        <v>169</v>
      </c>
      <c r="DD968" t="s">
        <v>170</v>
      </c>
      <c r="DG968">
        <v>7380129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1</v>
      </c>
      <c r="DQ968">
        <v>0</v>
      </c>
      <c r="DR968">
        <v>0</v>
      </c>
      <c r="DS968">
        <v>0</v>
      </c>
    </row>
    <row r="969" spans="1:123" x14ac:dyDescent="0.25">
      <c r="A969" t="str">
        <f>"11/29/2023 20:26:25.399"</f>
        <v>11/29/2023 20:26:25.399</v>
      </c>
      <c r="C969" t="str">
        <f t="shared" si="109"/>
        <v>FFDF53C0</v>
      </c>
      <c r="D969" t="s">
        <v>164</v>
      </c>
      <c r="E969">
        <v>24</v>
      </c>
      <c r="F969">
        <v>2024</v>
      </c>
      <c r="G969" t="s">
        <v>165</v>
      </c>
      <c r="J969" t="s">
        <v>166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>"20:26:25.125"</f>
        <v>20:26:25.125</v>
      </c>
      <c r="T969" t="str">
        <f>"20:26:24.225"</f>
        <v>20:26:24.225</v>
      </c>
      <c r="U969" t="str">
        <f t="shared" si="114"/>
        <v>AA0632</v>
      </c>
      <c r="V969">
        <v>0</v>
      </c>
      <c r="W969">
        <v>0</v>
      </c>
      <c r="X969">
        <v>2</v>
      </c>
      <c r="Y969">
        <v>0</v>
      </c>
      <c r="AA969">
        <v>0</v>
      </c>
      <c r="AB969">
        <v>9</v>
      </c>
      <c r="AC969">
        <v>3</v>
      </c>
      <c r="AD969">
        <v>0</v>
      </c>
      <c r="AE969">
        <v>10</v>
      </c>
      <c r="AF969" t="s">
        <v>126</v>
      </c>
      <c r="AG969">
        <v>0</v>
      </c>
      <c r="AH969">
        <v>0</v>
      </c>
      <c r="AI969">
        <v>2</v>
      </c>
      <c r="AJ969">
        <v>0</v>
      </c>
      <c r="AK969" t="s">
        <v>589</v>
      </c>
      <c r="AL969">
        <v>31.922965000000001</v>
      </c>
      <c r="AM969" t="s">
        <v>602</v>
      </c>
      <c r="AN969">
        <v>-100.97321700000001</v>
      </c>
      <c r="AQ969" t="s">
        <v>129</v>
      </c>
      <c r="AR969">
        <v>95</v>
      </c>
      <c r="AS969">
        <v>-2</v>
      </c>
      <c r="AT969">
        <v>0</v>
      </c>
      <c r="BB969" t="str">
        <f t="shared" si="115"/>
        <v>1200</v>
      </c>
      <c r="BC969">
        <v>1</v>
      </c>
      <c r="BD969" t="str">
        <f t="shared" si="110"/>
        <v xml:space="preserve">N745MB  </v>
      </c>
      <c r="BE969">
        <v>1</v>
      </c>
      <c r="BG969">
        <v>0</v>
      </c>
      <c r="BH969">
        <v>0</v>
      </c>
      <c r="BI969">
        <v>0</v>
      </c>
      <c r="BL969" t="s">
        <v>130</v>
      </c>
      <c r="BM969">
        <v>1</v>
      </c>
      <c r="BN969">
        <v>0</v>
      </c>
      <c r="BO969">
        <v>0</v>
      </c>
      <c r="BP969">
        <v>0</v>
      </c>
      <c r="BT969">
        <v>0</v>
      </c>
      <c r="BU969">
        <v>0</v>
      </c>
      <c r="CE969" t="str">
        <f>"20:26:25.133"</f>
        <v>20:26:25.133</v>
      </c>
      <c r="CF969">
        <v>132533284</v>
      </c>
      <c r="CS969">
        <v>0</v>
      </c>
      <c r="CT969">
        <v>2</v>
      </c>
      <c r="CU969">
        <v>0</v>
      </c>
      <c r="CV969">
        <v>2</v>
      </c>
      <c r="CW969">
        <v>0</v>
      </c>
      <c r="CX969">
        <v>4</v>
      </c>
      <c r="CY969">
        <v>7</v>
      </c>
      <c r="CZ969" t="s">
        <v>131</v>
      </c>
      <c r="DA969">
        <v>483</v>
      </c>
      <c r="DB969">
        <v>1</v>
      </c>
      <c r="DC969" t="s">
        <v>169</v>
      </c>
      <c r="DD969" t="s">
        <v>170</v>
      </c>
      <c r="DG969">
        <v>7380295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1</v>
      </c>
      <c r="DQ969">
        <v>0</v>
      </c>
      <c r="DR969">
        <v>0</v>
      </c>
      <c r="DS969">
        <v>0</v>
      </c>
    </row>
    <row r="970" spans="1:123" x14ac:dyDescent="0.25">
      <c r="A970" t="str">
        <f>"11/29/2023 20:26:25.509"</f>
        <v>11/29/2023 20:26:25.509</v>
      </c>
      <c r="C970" t="str">
        <f t="shared" si="109"/>
        <v>FFDF53C0</v>
      </c>
      <c r="D970" t="s">
        <v>123</v>
      </c>
      <c r="E970">
        <v>14</v>
      </c>
      <c r="F970">
        <v>1014</v>
      </c>
      <c r="G970" t="s">
        <v>124</v>
      </c>
      <c r="J970" t="s">
        <v>125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>"20:26:25.125"</f>
        <v>20:26:25.125</v>
      </c>
      <c r="T970" t="str">
        <f>"20:26:24.225"</f>
        <v>20:26:24.225</v>
      </c>
      <c r="U970" t="str">
        <f t="shared" si="114"/>
        <v>AA0632</v>
      </c>
      <c r="V970">
        <v>0</v>
      </c>
      <c r="W970">
        <v>0</v>
      </c>
      <c r="X970">
        <v>2</v>
      </c>
      <c r="Y970">
        <v>0</v>
      </c>
      <c r="AA970">
        <v>0</v>
      </c>
      <c r="AB970">
        <v>9</v>
      </c>
      <c r="AC970">
        <v>3</v>
      </c>
      <c r="AD970">
        <v>0</v>
      </c>
      <c r="AE970">
        <v>10</v>
      </c>
      <c r="AF970" t="s">
        <v>126</v>
      </c>
      <c r="AG970">
        <v>0</v>
      </c>
      <c r="AH970">
        <v>0</v>
      </c>
      <c r="AI970">
        <v>2</v>
      </c>
      <c r="AJ970">
        <v>0</v>
      </c>
      <c r="AK970" t="s">
        <v>589</v>
      </c>
      <c r="AL970">
        <v>31.922965000000001</v>
      </c>
      <c r="AM970" t="s">
        <v>602</v>
      </c>
      <c r="AN970">
        <v>-100.97321700000001</v>
      </c>
      <c r="AQ970" t="s">
        <v>129</v>
      </c>
      <c r="AR970">
        <v>95</v>
      </c>
      <c r="AS970">
        <v>-2</v>
      </c>
      <c r="AT970">
        <v>0</v>
      </c>
      <c r="BB970" t="str">
        <f t="shared" si="115"/>
        <v>1200</v>
      </c>
      <c r="BC970">
        <v>1</v>
      </c>
      <c r="BD970" t="str">
        <f t="shared" si="110"/>
        <v xml:space="preserve">N745MB  </v>
      </c>
      <c r="BE970">
        <v>1</v>
      </c>
      <c r="BG970">
        <v>0</v>
      </c>
      <c r="BH970">
        <v>0</v>
      </c>
      <c r="BI970">
        <v>0</v>
      </c>
      <c r="BL970" t="s">
        <v>130</v>
      </c>
      <c r="BM970">
        <v>1</v>
      </c>
      <c r="BN970">
        <v>0</v>
      </c>
      <c r="BO970">
        <v>0</v>
      </c>
      <c r="BP970">
        <v>0</v>
      </c>
      <c r="BT970">
        <v>0</v>
      </c>
      <c r="BU970">
        <v>0</v>
      </c>
      <c r="CE970" t="str">
        <f>"20:26:25.133"</f>
        <v>20:26:25.133</v>
      </c>
      <c r="CF970">
        <v>132533284</v>
      </c>
      <c r="CS970">
        <v>0</v>
      </c>
      <c r="CT970">
        <v>2</v>
      </c>
      <c r="CU970">
        <v>0</v>
      </c>
      <c r="CV970">
        <v>2</v>
      </c>
      <c r="CW970">
        <v>0</v>
      </c>
      <c r="CX970">
        <v>4</v>
      </c>
      <c r="CY970">
        <v>7</v>
      </c>
      <c r="CZ970" t="s">
        <v>131</v>
      </c>
      <c r="DA970">
        <v>483</v>
      </c>
      <c r="DB970">
        <v>1</v>
      </c>
      <c r="DC970" t="s">
        <v>169</v>
      </c>
      <c r="DD970" t="s">
        <v>170</v>
      </c>
      <c r="DG970">
        <v>7380295</v>
      </c>
      <c r="DI970">
        <v>0</v>
      </c>
      <c r="DJ970">
        <v>0</v>
      </c>
      <c r="DK970">
        <v>1</v>
      </c>
      <c r="DL970">
        <v>0</v>
      </c>
      <c r="DM970">
        <v>0</v>
      </c>
      <c r="DN970">
        <v>0</v>
      </c>
      <c r="DO970">
        <v>0</v>
      </c>
      <c r="DP970">
        <v>1</v>
      </c>
      <c r="DQ970">
        <v>0</v>
      </c>
      <c r="DR970">
        <v>0</v>
      </c>
      <c r="DS970">
        <v>0</v>
      </c>
    </row>
    <row r="971" spans="1:123" x14ac:dyDescent="0.25">
      <c r="A971" t="str">
        <f>"11/29/2023 20:26:25.509"</f>
        <v>11/29/2023 20:26:25.509</v>
      </c>
      <c r="C971" t="str">
        <f t="shared" si="109"/>
        <v>FFDF53C0</v>
      </c>
      <c r="D971" t="s">
        <v>138</v>
      </c>
      <c r="E971">
        <v>3</v>
      </c>
      <c r="H971">
        <v>160</v>
      </c>
      <c r="I971" t="s">
        <v>124</v>
      </c>
      <c r="J971" t="s">
        <v>139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>"20:26:25.125"</f>
        <v>20:26:25.125</v>
      </c>
      <c r="T971" t="str">
        <f>"20:26:24.225"</f>
        <v>20:26:24.225</v>
      </c>
      <c r="U971" t="str">
        <f t="shared" si="114"/>
        <v>AA0632</v>
      </c>
      <c r="V971">
        <v>0</v>
      </c>
      <c r="W971">
        <v>0</v>
      </c>
      <c r="X971">
        <v>2</v>
      </c>
      <c r="Y971">
        <v>0</v>
      </c>
      <c r="AA971">
        <v>0</v>
      </c>
      <c r="AB971">
        <v>9</v>
      </c>
      <c r="AC971">
        <v>3</v>
      </c>
      <c r="AD971">
        <v>0</v>
      </c>
      <c r="AE971">
        <v>10</v>
      </c>
      <c r="AF971" t="s">
        <v>126</v>
      </c>
      <c r="AG971">
        <v>0</v>
      </c>
      <c r="AH971">
        <v>0</v>
      </c>
      <c r="AI971">
        <v>2</v>
      </c>
      <c r="AJ971">
        <v>0</v>
      </c>
      <c r="AK971" t="s">
        <v>589</v>
      </c>
      <c r="AL971">
        <v>31.922965000000001</v>
      </c>
      <c r="AM971" t="s">
        <v>602</v>
      </c>
      <c r="AN971">
        <v>-100.97321700000001</v>
      </c>
      <c r="AQ971" t="s">
        <v>129</v>
      </c>
      <c r="AR971">
        <v>95</v>
      </c>
      <c r="AS971">
        <v>-2</v>
      </c>
      <c r="AT971">
        <v>0</v>
      </c>
      <c r="BB971" t="str">
        <f t="shared" si="115"/>
        <v>1200</v>
      </c>
      <c r="BC971">
        <v>1</v>
      </c>
      <c r="BD971" t="str">
        <f t="shared" si="110"/>
        <v xml:space="preserve">N745MB  </v>
      </c>
      <c r="BE971">
        <v>1</v>
      </c>
      <c r="BG971">
        <v>0</v>
      </c>
      <c r="BH971">
        <v>0</v>
      </c>
      <c r="BI971">
        <v>0</v>
      </c>
      <c r="BL971" t="s">
        <v>130</v>
      </c>
      <c r="BM971">
        <v>1</v>
      </c>
      <c r="BN971">
        <v>0</v>
      </c>
      <c r="BO971">
        <v>0</v>
      </c>
      <c r="BP971">
        <v>0</v>
      </c>
      <c r="BT971">
        <v>0</v>
      </c>
      <c r="BU971">
        <v>0</v>
      </c>
      <c r="CE971" t="str">
        <f>"20:26:25.133"</f>
        <v>20:26:25.133</v>
      </c>
      <c r="CF971">
        <v>132533284</v>
      </c>
      <c r="CS971">
        <v>0</v>
      </c>
      <c r="CT971">
        <v>2</v>
      </c>
      <c r="CU971">
        <v>0</v>
      </c>
      <c r="CV971">
        <v>2</v>
      </c>
      <c r="CW971">
        <v>0</v>
      </c>
      <c r="CX971">
        <v>4</v>
      </c>
      <c r="CY971">
        <v>7</v>
      </c>
      <c r="CZ971" t="s">
        <v>131</v>
      </c>
      <c r="DA971">
        <v>483</v>
      </c>
      <c r="DB971">
        <v>1</v>
      </c>
      <c r="DC971" t="s">
        <v>169</v>
      </c>
      <c r="DD971" t="s">
        <v>170</v>
      </c>
      <c r="DG971">
        <v>7380295</v>
      </c>
      <c r="DI971">
        <v>0</v>
      </c>
      <c r="DJ971">
        <v>0</v>
      </c>
      <c r="DK971">
        <v>1</v>
      </c>
      <c r="DL971">
        <v>0</v>
      </c>
      <c r="DM971">
        <v>0</v>
      </c>
      <c r="DN971">
        <v>0</v>
      </c>
      <c r="DO971">
        <v>0</v>
      </c>
      <c r="DP971">
        <v>1</v>
      </c>
      <c r="DQ971">
        <v>0</v>
      </c>
      <c r="DR971">
        <v>0</v>
      </c>
      <c r="DS971">
        <v>0</v>
      </c>
    </row>
    <row r="972" spans="1:123" x14ac:dyDescent="0.25">
      <c r="A972" t="str">
        <f>"11/29/2023 20:26:26.305"</f>
        <v>11/29/2023 20:26:26.305</v>
      </c>
      <c r="C972" t="str">
        <f t="shared" si="109"/>
        <v>FFDF53C0</v>
      </c>
      <c r="D972" t="s">
        <v>123</v>
      </c>
      <c r="E972">
        <v>14</v>
      </c>
      <c r="F972">
        <v>1014</v>
      </c>
      <c r="G972" t="s">
        <v>124</v>
      </c>
      <c r="J972" t="s">
        <v>125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>"20:26:25.945"</f>
        <v>20:26:25.945</v>
      </c>
      <c r="T972" t="str">
        <f>"20:26:25.845"</f>
        <v>20:26:25.845</v>
      </c>
      <c r="U972" t="str">
        <f t="shared" si="114"/>
        <v>AA0632</v>
      </c>
      <c r="V972">
        <v>0</v>
      </c>
      <c r="W972">
        <v>0</v>
      </c>
      <c r="X972">
        <v>2</v>
      </c>
      <c r="Y972">
        <v>0</v>
      </c>
      <c r="AA972">
        <v>0</v>
      </c>
      <c r="AB972">
        <v>9</v>
      </c>
      <c r="AC972">
        <v>3</v>
      </c>
      <c r="AD972">
        <v>0</v>
      </c>
      <c r="AE972">
        <v>10</v>
      </c>
      <c r="AF972" t="s">
        <v>126</v>
      </c>
      <c r="AG972">
        <v>0</v>
      </c>
      <c r="AH972">
        <v>0</v>
      </c>
      <c r="AI972">
        <v>2</v>
      </c>
      <c r="AJ972">
        <v>0</v>
      </c>
      <c r="AK972" t="s">
        <v>589</v>
      </c>
      <c r="AL972">
        <v>31.922965000000001</v>
      </c>
      <c r="AM972" t="s">
        <v>603</v>
      </c>
      <c r="AN972">
        <v>-100.97281</v>
      </c>
      <c r="AQ972" t="s">
        <v>129</v>
      </c>
      <c r="AR972">
        <v>94</v>
      </c>
      <c r="AS972">
        <v>-2</v>
      </c>
      <c r="AT972">
        <v>128</v>
      </c>
      <c r="BB972" t="str">
        <f t="shared" si="115"/>
        <v>1200</v>
      </c>
      <c r="BC972">
        <v>1</v>
      </c>
      <c r="BD972" t="str">
        <f t="shared" si="110"/>
        <v xml:space="preserve">N745MB  </v>
      </c>
      <c r="BE972">
        <v>1</v>
      </c>
      <c r="BG972">
        <v>0</v>
      </c>
      <c r="BH972">
        <v>0</v>
      </c>
      <c r="BI972">
        <v>0</v>
      </c>
      <c r="BL972" t="s">
        <v>130</v>
      </c>
      <c r="BM972">
        <v>1</v>
      </c>
      <c r="BN972">
        <v>0</v>
      </c>
      <c r="BO972">
        <v>0</v>
      </c>
      <c r="BP972">
        <v>0</v>
      </c>
      <c r="BT972">
        <v>0</v>
      </c>
      <c r="BU972">
        <v>0</v>
      </c>
      <c r="CE972" t="str">
        <f>"20:26:25.952"</f>
        <v>20:26:25.952</v>
      </c>
      <c r="CF972">
        <v>952472413</v>
      </c>
      <c r="CS972">
        <v>0</v>
      </c>
      <c r="CT972">
        <v>2</v>
      </c>
      <c r="CU972">
        <v>0</v>
      </c>
      <c r="CV972">
        <v>2</v>
      </c>
      <c r="CW972">
        <v>0</v>
      </c>
      <c r="CX972">
        <v>5</v>
      </c>
      <c r="CY972">
        <v>7</v>
      </c>
      <c r="CZ972" t="s">
        <v>131</v>
      </c>
      <c r="DA972">
        <v>116</v>
      </c>
      <c r="DB972">
        <v>3</v>
      </c>
      <c r="DC972" t="s">
        <v>132</v>
      </c>
      <c r="DD972" t="s">
        <v>133</v>
      </c>
      <c r="DG972">
        <v>8427976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1</v>
      </c>
      <c r="DQ972">
        <v>0</v>
      </c>
      <c r="DR972">
        <v>0</v>
      </c>
      <c r="DS972">
        <v>0</v>
      </c>
    </row>
    <row r="973" spans="1:123" x14ac:dyDescent="0.25">
      <c r="A973" t="str">
        <f>"11/29/2023 20:26:26.305"</f>
        <v>11/29/2023 20:26:26.305</v>
      </c>
      <c r="C973" t="str">
        <f t="shared" si="109"/>
        <v>FFDF53C0</v>
      </c>
      <c r="D973" t="s">
        <v>123</v>
      </c>
      <c r="E973">
        <v>1</v>
      </c>
      <c r="F973">
        <v>1001</v>
      </c>
      <c r="G973" t="s">
        <v>134</v>
      </c>
      <c r="J973" t="s">
        <v>125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>"20:26:25.945"</f>
        <v>20:26:25.945</v>
      </c>
      <c r="T973" t="str">
        <f>"20:26:25.845"</f>
        <v>20:26:25.845</v>
      </c>
      <c r="U973" t="str">
        <f t="shared" si="114"/>
        <v>AA0632</v>
      </c>
      <c r="V973">
        <v>0</v>
      </c>
      <c r="W973">
        <v>0</v>
      </c>
      <c r="X973">
        <v>2</v>
      </c>
      <c r="Y973">
        <v>0</v>
      </c>
      <c r="AA973">
        <v>0</v>
      </c>
      <c r="AB973">
        <v>9</v>
      </c>
      <c r="AC973">
        <v>3</v>
      </c>
      <c r="AD973">
        <v>0</v>
      </c>
      <c r="AE973">
        <v>10</v>
      </c>
      <c r="AF973" t="s">
        <v>126</v>
      </c>
      <c r="AG973">
        <v>0</v>
      </c>
      <c r="AH973">
        <v>0</v>
      </c>
      <c r="AI973">
        <v>2</v>
      </c>
      <c r="AJ973">
        <v>0</v>
      </c>
      <c r="AK973" t="s">
        <v>589</v>
      </c>
      <c r="AL973">
        <v>31.922965000000001</v>
      </c>
      <c r="AM973" t="s">
        <v>603</v>
      </c>
      <c r="AN973">
        <v>-100.97281</v>
      </c>
      <c r="AQ973" t="s">
        <v>129</v>
      </c>
      <c r="AR973">
        <v>94</v>
      </c>
      <c r="AS973">
        <v>-2</v>
      </c>
      <c r="AT973">
        <v>128</v>
      </c>
      <c r="BB973" t="str">
        <f t="shared" si="115"/>
        <v>1200</v>
      </c>
      <c r="BC973">
        <v>1</v>
      </c>
      <c r="BD973" t="str">
        <f t="shared" si="110"/>
        <v xml:space="preserve">N745MB  </v>
      </c>
      <c r="BE973">
        <v>1</v>
      </c>
      <c r="BG973">
        <v>0</v>
      </c>
      <c r="BH973">
        <v>0</v>
      </c>
      <c r="BI973">
        <v>0</v>
      </c>
      <c r="BL973" t="s">
        <v>130</v>
      </c>
      <c r="BM973">
        <v>1</v>
      </c>
      <c r="BN973">
        <v>0</v>
      </c>
      <c r="BO973">
        <v>0</v>
      </c>
      <c r="BP973">
        <v>0</v>
      </c>
      <c r="BT973">
        <v>0</v>
      </c>
      <c r="BU973">
        <v>0</v>
      </c>
      <c r="CE973" t="str">
        <f>"20:26:25.952"</f>
        <v>20:26:25.952</v>
      </c>
      <c r="CF973">
        <v>952472413</v>
      </c>
      <c r="CS973">
        <v>0</v>
      </c>
      <c r="CT973">
        <v>2</v>
      </c>
      <c r="CU973">
        <v>0</v>
      </c>
      <c r="CV973">
        <v>2</v>
      </c>
      <c r="CW973">
        <v>0</v>
      </c>
      <c r="CX973">
        <v>5</v>
      </c>
      <c r="CY973">
        <v>7</v>
      </c>
      <c r="CZ973" t="s">
        <v>131</v>
      </c>
      <c r="DA973">
        <v>116</v>
      </c>
      <c r="DB973">
        <v>3</v>
      </c>
      <c r="DC973" t="s">
        <v>132</v>
      </c>
      <c r="DD973" t="s">
        <v>133</v>
      </c>
      <c r="DG973">
        <v>8427976</v>
      </c>
      <c r="DI973">
        <v>0</v>
      </c>
      <c r="DJ973">
        <v>0</v>
      </c>
      <c r="DK973">
        <v>1</v>
      </c>
      <c r="DL973">
        <v>0</v>
      </c>
      <c r="DM973">
        <v>0</v>
      </c>
      <c r="DN973">
        <v>0</v>
      </c>
      <c r="DO973">
        <v>0</v>
      </c>
      <c r="DP973">
        <v>1</v>
      </c>
      <c r="DQ973">
        <v>0</v>
      </c>
      <c r="DR973">
        <v>0</v>
      </c>
      <c r="DS973">
        <v>0</v>
      </c>
    </row>
    <row r="974" spans="1:123" x14ac:dyDescent="0.25">
      <c r="A974" t="str">
        <f>"11/29/2023 20:26:26.305"</f>
        <v>11/29/2023 20:26:26.305</v>
      </c>
      <c r="C974" t="str">
        <f t="shared" si="109"/>
        <v>FFDF53C0</v>
      </c>
      <c r="D974" t="s">
        <v>138</v>
      </c>
      <c r="E974">
        <v>3</v>
      </c>
      <c r="H974">
        <v>160</v>
      </c>
      <c r="I974" t="s">
        <v>124</v>
      </c>
      <c r="J974" t="s">
        <v>139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>"20:26:25.945"</f>
        <v>20:26:25.945</v>
      </c>
      <c r="T974" t="str">
        <f>"20:26:25.845"</f>
        <v>20:26:25.845</v>
      </c>
      <c r="U974" t="str">
        <f t="shared" si="114"/>
        <v>AA0632</v>
      </c>
      <c r="V974">
        <v>0</v>
      </c>
      <c r="W974">
        <v>0</v>
      </c>
      <c r="X974">
        <v>2</v>
      </c>
      <c r="Y974">
        <v>0</v>
      </c>
      <c r="AA974">
        <v>0</v>
      </c>
      <c r="AB974">
        <v>9</v>
      </c>
      <c r="AC974">
        <v>3</v>
      </c>
      <c r="AD974">
        <v>0</v>
      </c>
      <c r="AE974">
        <v>10</v>
      </c>
      <c r="AF974" t="s">
        <v>126</v>
      </c>
      <c r="AG974">
        <v>0</v>
      </c>
      <c r="AH974">
        <v>0</v>
      </c>
      <c r="AI974">
        <v>2</v>
      </c>
      <c r="AJ974">
        <v>0</v>
      </c>
      <c r="AK974" t="s">
        <v>589</v>
      </c>
      <c r="AL974">
        <v>31.922965000000001</v>
      </c>
      <c r="AM974" t="s">
        <v>603</v>
      </c>
      <c r="AN974">
        <v>-100.97281</v>
      </c>
      <c r="AQ974" t="s">
        <v>129</v>
      </c>
      <c r="AR974">
        <v>94</v>
      </c>
      <c r="AS974">
        <v>-2</v>
      </c>
      <c r="AT974">
        <v>128</v>
      </c>
      <c r="BB974" t="str">
        <f t="shared" si="115"/>
        <v>1200</v>
      </c>
      <c r="BC974">
        <v>1</v>
      </c>
      <c r="BD974" t="str">
        <f t="shared" si="110"/>
        <v xml:space="preserve">N745MB  </v>
      </c>
      <c r="BE974">
        <v>1</v>
      </c>
      <c r="BG974">
        <v>0</v>
      </c>
      <c r="BH974">
        <v>0</v>
      </c>
      <c r="BI974">
        <v>0</v>
      </c>
      <c r="BL974" t="s">
        <v>130</v>
      </c>
      <c r="BM974">
        <v>1</v>
      </c>
      <c r="BN974">
        <v>0</v>
      </c>
      <c r="BO974">
        <v>0</v>
      </c>
      <c r="BP974">
        <v>0</v>
      </c>
      <c r="BT974">
        <v>0</v>
      </c>
      <c r="BU974">
        <v>0</v>
      </c>
      <c r="CE974" t="str">
        <f>"20:26:25.952"</f>
        <v>20:26:25.952</v>
      </c>
      <c r="CF974">
        <v>952472413</v>
      </c>
      <c r="CS974">
        <v>0</v>
      </c>
      <c r="CT974">
        <v>2</v>
      </c>
      <c r="CU974">
        <v>0</v>
      </c>
      <c r="CV974">
        <v>2</v>
      </c>
      <c r="CW974">
        <v>0</v>
      </c>
      <c r="CX974">
        <v>5</v>
      </c>
      <c r="CY974">
        <v>7</v>
      </c>
      <c r="CZ974" t="s">
        <v>131</v>
      </c>
      <c r="DA974">
        <v>116</v>
      </c>
      <c r="DB974">
        <v>3</v>
      </c>
      <c r="DC974" t="s">
        <v>132</v>
      </c>
      <c r="DD974" t="s">
        <v>133</v>
      </c>
      <c r="DG974">
        <v>8427976</v>
      </c>
      <c r="DI974">
        <v>0</v>
      </c>
      <c r="DJ974">
        <v>0</v>
      </c>
      <c r="DK974">
        <v>1</v>
      </c>
      <c r="DL974">
        <v>0</v>
      </c>
      <c r="DM974">
        <v>0</v>
      </c>
      <c r="DN974">
        <v>0</v>
      </c>
      <c r="DO974">
        <v>0</v>
      </c>
      <c r="DP974">
        <v>1</v>
      </c>
      <c r="DQ974">
        <v>0</v>
      </c>
      <c r="DR974">
        <v>0</v>
      </c>
      <c r="DS974">
        <v>0</v>
      </c>
    </row>
    <row r="975" spans="1:123" x14ac:dyDescent="0.25">
      <c r="A975" t="str">
        <f>"11/29/2023 20:26:26.305"</f>
        <v>11/29/2023 20:26:26.305</v>
      </c>
      <c r="C975" t="str">
        <f t="shared" si="109"/>
        <v>FFDF53C0</v>
      </c>
      <c r="D975" t="s">
        <v>135</v>
      </c>
      <c r="E975">
        <v>31</v>
      </c>
      <c r="H975">
        <v>285</v>
      </c>
      <c r="I975" t="s">
        <v>136</v>
      </c>
      <c r="J975" t="s">
        <v>137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>"20:26:25.945"</f>
        <v>20:26:25.945</v>
      </c>
      <c r="T975" t="str">
        <f>"20:26:25.845"</f>
        <v>20:26:25.845</v>
      </c>
      <c r="U975" t="str">
        <f t="shared" si="114"/>
        <v>AA0632</v>
      </c>
      <c r="V975">
        <v>0</v>
      </c>
      <c r="W975">
        <v>0</v>
      </c>
      <c r="X975">
        <v>2</v>
      </c>
      <c r="Y975">
        <v>0</v>
      </c>
      <c r="AA975">
        <v>0</v>
      </c>
      <c r="AB975">
        <v>9</v>
      </c>
      <c r="AC975">
        <v>3</v>
      </c>
      <c r="AD975">
        <v>0</v>
      </c>
      <c r="AE975">
        <v>10</v>
      </c>
      <c r="AF975" t="s">
        <v>126</v>
      </c>
      <c r="AG975">
        <v>0</v>
      </c>
      <c r="AH975">
        <v>0</v>
      </c>
      <c r="AI975">
        <v>2</v>
      </c>
      <c r="AJ975">
        <v>0</v>
      </c>
      <c r="AK975" t="s">
        <v>589</v>
      </c>
      <c r="AL975">
        <v>31.922965000000001</v>
      </c>
      <c r="AM975" t="s">
        <v>603</v>
      </c>
      <c r="AN975">
        <v>-100.97281</v>
      </c>
      <c r="AQ975" t="s">
        <v>129</v>
      </c>
      <c r="AR975">
        <v>94</v>
      </c>
      <c r="AS975">
        <v>-2</v>
      </c>
      <c r="AT975">
        <v>128</v>
      </c>
      <c r="BB975" t="str">
        <f t="shared" si="115"/>
        <v>1200</v>
      </c>
      <c r="BC975">
        <v>1</v>
      </c>
      <c r="BD975" t="str">
        <f t="shared" si="110"/>
        <v xml:space="preserve">N745MB  </v>
      </c>
      <c r="BE975">
        <v>1</v>
      </c>
      <c r="BG975">
        <v>0</v>
      </c>
      <c r="BH975">
        <v>0</v>
      </c>
      <c r="BI975">
        <v>0</v>
      </c>
      <c r="BL975" t="s">
        <v>130</v>
      </c>
      <c r="BM975">
        <v>1</v>
      </c>
      <c r="BN975">
        <v>0</v>
      </c>
      <c r="BO975">
        <v>0</v>
      </c>
      <c r="BP975">
        <v>0</v>
      </c>
      <c r="BT975">
        <v>0</v>
      </c>
      <c r="BU975">
        <v>0</v>
      </c>
      <c r="CE975" t="str">
        <f>"20:26:25.952"</f>
        <v>20:26:25.952</v>
      </c>
      <c r="CF975">
        <v>952472413</v>
      </c>
      <c r="CS975">
        <v>0</v>
      </c>
      <c r="CT975">
        <v>2</v>
      </c>
      <c r="CU975">
        <v>0</v>
      </c>
      <c r="CV975">
        <v>2</v>
      </c>
      <c r="CW975">
        <v>0</v>
      </c>
      <c r="CX975">
        <v>5</v>
      </c>
      <c r="CY975">
        <v>7</v>
      </c>
      <c r="CZ975" t="s">
        <v>131</v>
      </c>
      <c r="DA975">
        <v>116</v>
      </c>
      <c r="DB975">
        <v>3</v>
      </c>
      <c r="DC975" t="s">
        <v>132</v>
      </c>
      <c r="DD975" t="s">
        <v>133</v>
      </c>
      <c r="DG975">
        <v>8427976</v>
      </c>
      <c r="DI975">
        <v>0</v>
      </c>
      <c r="DJ975">
        <v>0</v>
      </c>
      <c r="DK975">
        <v>1</v>
      </c>
      <c r="DL975">
        <v>0</v>
      </c>
      <c r="DM975">
        <v>0</v>
      </c>
      <c r="DN975">
        <v>0</v>
      </c>
      <c r="DO975">
        <v>0</v>
      </c>
      <c r="DP975">
        <v>1</v>
      </c>
      <c r="DQ975">
        <v>0</v>
      </c>
      <c r="DR975">
        <v>0</v>
      </c>
      <c r="DS975">
        <v>0</v>
      </c>
    </row>
    <row r="976" spans="1:123" x14ac:dyDescent="0.25">
      <c r="A976" t="str">
        <f>"11/29/2023 20:26:27.368"</f>
        <v>11/29/2023 20:26:27.368</v>
      </c>
      <c r="C976" t="str">
        <f t="shared" ref="C976:C1039" si="116">"FFDF53C0"</f>
        <v>FFDF53C0</v>
      </c>
      <c r="D976" t="s">
        <v>123</v>
      </c>
      <c r="E976">
        <v>14</v>
      </c>
      <c r="F976">
        <v>1014</v>
      </c>
      <c r="G976" t="s">
        <v>124</v>
      </c>
      <c r="J976" t="s">
        <v>125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>"20:26:27.023"</f>
        <v>20:26:27.023</v>
      </c>
      <c r="T976" t="str">
        <f>"20:26:26.323"</f>
        <v>20:26:26.323</v>
      </c>
      <c r="U976" t="str">
        <f t="shared" si="114"/>
        <v>AA0632</v>
      </c>
      <c r="V976">
        <v>0</v>
      </c>
      <c r="W976">
        <v>0</v>
      </c>
      <c r="X976">
        <v>2</v>
      </c>
      <c r="Y976">
        <v>0</v>
      </c>
      <c r="AA976">
        <v>0</v>
      </c>
      <c r="AB976">
        <v>9</v>
      </c>
      <c r="AC976">
        <v>3</v>
      </c>
      <c r="AD976">
        <v>0</v>
      </c>
      <c r="AE976">
        <v>10</v>
      </c>
      <c r="AF976" t="s">
        <v>126</v>
      </c>
      <c r="AG976">
        <v>0</v>
      </c>
      <c r="AH976">
        <v>0</v>
      </c>
      <c r="AI976">
        <v>2</v>
      </c>
      <c r="AJ976">
        <v>0</v>
      </c>
      <c r="AK976" t="s">
        <v>510</v>
      </c>
      <c r="AL976">
        <v>31.922922</v>
      </c>
      <c r="AM976" t="s">
        <v>604</v>
      </c>
      <c r="AN976">
        <v>-100.972273</v>
      </c>
      <c r="AQ976" t="s">
        <v>129</v>
      </c>
      <c r="AR976">
        <v>93</v>
      </c>
      <c r="AS976">
        <v>-2</v>
      </c>
      <c r="AT976">
        <v>64</v>
      </c>
      <c r="BB976" t="str">
        <f t="shared" si="115"/>
        <v>1200</v>
      </c>
      <c r="BC976">
        <v>1</v>
      </c>
      <c r="BD976" t="str">
        <f t="shared" ref="BD976:BD1039" si="117">"N745MB  "</f>
        <v xml:space="preserve">N745MB  </v>
      </c>
      <c r="BE976">
        <v>1</v>
      </c>
      <c r="BG976">
        <v>0</v>
      </c>
      <c r="BH976">
        <v>0</v>
      </c>
      <c r="BI976">
        <v>0</v>
      </c>
      <c r="BL976" t="s">
        <v>130</v>
      </c>
      <c r="BM976">
        <v>1</v>
      </c>
      <c r="BN976">
        <v>0</v>
      </c>
      <c r="BO976">
        <v>0</v>
      </c>
      <c r="BP976">
        <v>0</v>
      </c>
      <c r="BT976">
        <v>0</v>
      </c>
      <c r="BU976">
        <v>0</v>
      </c>
      <c r="CE976" t="str">
        <f>"20:26:27.024"</f>
        <v>20:26:27.024</v>
      </c>
      <c r="CF976">
        <v>24406625</v>
      </c>
      <c r="CS976">
        <v>0</v>
      </c>
      <c r="CT976">
        <v>2</v>
      </c>
      <c r="CU976">
        <v>0</v>
      </c>
      <c r="CV976">
        <v>2</v>
      </c>
      <c r="CW976">
        <v>0</v>
      </c>
      <c r="CX976">
        <v>1</v>
      </c>
      <c r="CY976">
        <v>7</v>
      </c>
      <c r="CZ976" t="s">
        <v>131</v>
      </c>
      <c r="DA976">
        <v>483</v>
      </c>
      <c r="DB976">
        <v>0</v>
      </c>
      <c r="DC976" t="s">
        <v>169</v>
      </c>
      <c r="DD976" t="s">
        <v>170</v>
      </c>
      <c r="DG976">
        <v>7380570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1</v>
      </c>
      <c r="DQ976">
        <v>0</v>
      </c>
      <c r="DR976">
        <v>0</v>
      </c>
      <c r="DS976">
        <v>0</v>
      </c>
    </row>
    <row r="977" spans="1:123" x14ac:dyDescent="0.25">
      <c r="A977" t="str">
        <f>"11/29/2023 20:26:27.368"</f>
        <v>11/29/2023 20:26:27.368</v>
      </c>
      <c r="C977" t="str">
        <f t="shared" si="116"/>
        <v>FFDF53C0</v>
      </c>
      <c r="D977" t="s">
        <v>138</v>
      </c>
      <c r="E977">
        <v>3</v>
      </c>
      <c r="H977">
        <v>160</v>
      </c>
      <c r="I977" t="s">
        <v>124</v>
      </c>
      <c r="J977" t="s">
        <v>139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>"20:26:27.023"</f>
        <v>20:26:27.023</v>
      </c>
      <c r="T977" t="str">
        <f>"20:26:26.323"</f>
        <v>20:26:26.323</v>
      </c>
      <c r="U977" t="str">
        <f t="shared" si="114"/>
        <v>AA0632</v>
      </c>
      <c r="V977">
        <v>0</v>
      </c>
      <c r="W977">
        <v>0</v>
      </c>
      <c r="X977">
        <v>2</v>
      </c>
      <c r="Y977">
        <v>0</v>
      </c>
      <c r="AA977">
        <v>0</v>
      </c>
      <c r="AB977">
        <v>9</v>
      </c>
      <c r="AC977">
        <v>3</v>
      </c>
      <c r="AD977">
        <v>0</v>
      </c>
      <c r="AE977">
        <v>10</v>
      </c>
      <c r="AF977" t="s">
        <v>126</v>
      </c>
      <c r="AG977">
        <v>0</v>
      </c>
      <c r="AH977">
        <v>0</v>
      </c>
      <c r="AI977">
        <v>2</v>
      </c>
      <c r="AJ977">
        <v>0</v>
      </c>
      <c r="AK977" t="s">
        <v>510</v>
      </c>
      <c r="AL977">
        <v>31.922922</v>
      </c>
      <c r="AM977" t="s">
        <v>604</v>
      </c>
      <c r="AN977">
        <v>-100.972273</v>
      </c>
      <c r="AQ977" t="s">
        <v>129</v>
      </c>
      <c r="AR977">
        <v>93</v>
      </c>
      <c r="AS977">
        <v>-2</v>
      </c>
      <c r="AT977">
        <v>64</v>
      </c>
      <c r="BB977" t="str">
        <f t="shared" si="115"/>
        <v>1200</v>
      </c>
      <c r="BC977">
        <v>1</v>
      </c>
      <c r="BD977" t="str">
        <f t="shared" si="117"/>
        <v xml:space="preserve">N745MB  </v>
      </c>
      <c r="BE977">
        <v>1</v>
      </c>
      <c r="BG977">
        <v>0</v>
      </c>
      <c r="BH977">
        <v>0</v>
      </c>
      <c r="BI977">
        <v>0</v>
      </c>
      <c r="BL977" t="s">
        <v>130</v>
      </c>
      <c r="BM977">
        <v>1</v>
      </c>
      <c r="BN977">
        <v>0</v>
      </c>
      <c r="BO977">
        <v>0</v>
      </c>
      <c r="BP977">
        <v>0</v>
      </c>
      <c r="BT977">
        <v>0</v>
      </c>
      <c r="BU977">
        <v>0</v>
      </c>
      <c r="CE977" t="str">
        <f>"20:26:27.024"</f>
        <v>20:26:27.024</v>
      </c>
      <c r="CF977">
        <v>24406625</v>
      </c>
      <c r="CS977">
        <v>0</v>
      </c>
      <c r="CT977">
        <v>2</v>
      </c>
      <c r="CU977">
        <v>0</v>
      </c>
      <c r="CV977">
        <v>2</v>
      </c>
      <c r="CW977">
        <v>0</v>
      </c>
      <c r="CX977">
        <v>1</v>
      </c>
      <c r="CY977">
        <v>7</v>
      </c>
      <c r="CZ977" t="s">
        <v>131</v>
      </c>
      <c r="DA977">
        <v>483</v>
      </c>
      <c r="DB977">
        <v>0</v>
      </c>
      <c r="DC977" t="s">
        <v>169</v>
      </c>
      <c r="DD977" t="s">
        <v>170</v>
      </c>
      <c r="DG977">
        <v>7380570</v>
      </c>
      <c r="DI977">
        <v>0</v>
      </c>
      <c r="DJ977">
        <v>0</v>
      </c>
      <c r="DK977">
        <v>1</v>
      </c>
      <c r="DL977">
        <v>0</v>
      </c>
      <c r="DM977">
        <v>0</v>
      </c>
      <c r="DN977">
        <v>0</v>
      </c>
      <c r="DO977">
        <v>0</v>
      </c>
      <c r="DP977">
        <v>1</v>
      </c>
      <c r="DQ977">
        <v>0</v>
      </c>
      <c r="DR977">
        <v>0</v>
      </c>
      <c r="DS977">
        <v>0</v>
      </c>
    </row>
    <row r="978" spans="1:123" x14ac:dyDescent="0.25">
      <c r="A978" t="str">
        <f>"11/29/2023 20:26:27.368"</f>
        <v>11/29/2023 20:26:27.368</v>
      </c>
      <c r="C978" t="str">
        <f t="shared" si="116"/>
        <v>FFDF53C0</v>
      </c>
      <c r="D978" t="s">
        <v>164</v>
      </c>
      <c r="E978">
        <v>24</v>
      </c>
      <c r="F978">
        <v>2024</v>
      </c>
      <c r="G978" t="s">
        <v>165</v>
      </c>
      <c r="J978" t="s">
        <v>166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>"20:26:27.023"</f>
        <v>20:26:27.023</v>
      </c>
      <c r="T978" t="str">
        <f>"20:26:26.323"</f>
        <v>20:26:26.323</v>
      </c>
      <c r="U978" t="str">
        <f t="shared" si="114"/>
        <v>AA0632</v>
      </c>
      <c r="V978">
        <v>0</v>
      </c>
      <c r="W978">
        <v>0</v>
      </c>
      <c r="X978">
        <v>2</v>
      </c>
      <c r="Y978">
        <v>0</v>
      </c>
      <c r="AA978">
        <v>0</v>
      </c>
      <c r="AB978">
        <v>9</v>
      </c>
      <c r="AC978">
        <v>3</v>
      </c>
      <c r="AD978">
        <v>0</v>
      </c>
      <c r="AE978">
        <v>10</v>
      </c>
      <c r="AF978" t="s">
        <v>126</v>
      </c>
      <c r="AG978">
        <v>0</v>
      </c>
      <c r="AH978">
        <v>0</v>
      </c>
      <c r="AI978">
        <v>2</v>
      </c>
      <c r="AJ978">
        <v>0</v>
      </c>
      <c r="AK978" t="s">
        <v>510</v>
      </c>
      <c r="AL978">
        <v>31.922922</v>
      </c>
      <c r="AM978" t="s">
        <v>604</v>
      </c>
      <c r="AN978">
        <v>-100.972273</v>
      </c>
      <c r="AQ978" t="s">
        <v>129</v>
      </c>
      <c r="AR978">
        <v>93</v>
      </c>
      <c r="AS978">
        <v>-2</v>
      </c>
      <c r="AT978">
        <v>64</v>
      </c>
      <c r="BB978" t="str">
        <f t="shared" si="115"/>
        <v>1200</v>
      </c>
      <c r="BC978">
        <v>1</v>
      </c>
      <c r="BD978" t="str">
        <f t="shared" si="117"/>
        <v xml:space="preserve">N745MB  </v>
      </c>
      <c r="BE978">
        <v>1</v>
      </c>
      <c r="BG978">
        <v>0</v>
      </c>
      <c r="BH978">
        <v>0</v>
      </c>
      <c r="BI978">
        <v>0</v>
      </c>
      <c r="BL978" t="s">
        <v>130</v>
      </c>
      <c r="BM978">
        <v>1</v>
      </c>
      <c r="BN978">
        <v>0</v>
      </c>
      <c r="BO978">
        <v>0</v>
      </c>
      <c r="BP978">
        <v>0</v>
      </c>
      <c r="BT978">
        <v>0</v>
      </c>
      <c r="BU978">
        <v>0</v>
      </c>
      <c r="CE978" t="str">
        <f>"20:26:27.024"</f>
        <v>20:26:27.024</v>
      </c>
      <c r="CF978">
        <v>24406625</v>
      </c>
      <c r="CS978">
        <v>0</v>
      </c>
      <c r="CT978">
        <v>2</v>
      </c>
      <c r="CU978">
        <v>0</v>
      </c>
      <c r="CV978">
        <v>2</v>
      </c>
      <c r="CW978">
        <v>0</v>
      </c>
      <c r="CX978">
        <v>1</v>
      </c>
      <c r="CY978">
        <v>7</v>
      </c>
      <c r="CZ978" t="s">
        <v>131</v>
      </c>
      <c r="DA978">
        <v>483</v>
      </c>
      <c r="DB978">
        <v>0</v>
      </c>
      <c r="DC978" t="s">
        <v>169</v>
      </c>
      <c r="DD978" t="s">
        <v>170</v>
      </c>
      <c r="DG978">
        <v>7380570</v>
      </c>
      <c r="DI978">
        <v>0</v>
      </c>
      <c r="DJ978">
        <v>0</v>
      </c>
      <c r="DK978">
        <v>1</v>
      </c>
      <c r="DL978">
        <v>0</v>
      </c>
      <c r="DM978">
        <v>0</v>
      </c>
      <c r="DN978">
        <v>0</v>
      </c>
      <c r="DO978">
        <v>0</v>
      </c>
      <c r="DP978">
        <v>1</v>
      </c>
      <c r="DQ978">
        <v>0</v>
      </c>
      <c r="DR978">
        <v>0</v>
      </c>
      <c r="DS978">
        <v>0</v>
      </c>
    </row>
    <row r="979" spans="1:123" x14ac:dyDescent="0.25">
      <c r="A979" t="str">
        <f>"11/29/2023 20:26:28.962"</f>
        <v>11/29/2023 20:26:28.962</v>
      </c>
      <c r="C979" t="str">
        <f t="shared" si="116"/>
        <v>FFDF53C0</v>
      </c>
      <c r="D979" t="s">
        <v>138</v>
      </c>
      <c r="E979">
        <v>3</v>
      </c>
      <c r="H979">
        <v>160</v>
      </c>
      <c r="I979" t="s">
        <v>124</v>
      </c>
      <c r="J979" t="s">
        <v>139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>"20:26:28.406"</f>
        <v>20:26:28.406</v>
      </c>
      <c r="T979" t="str">
        <f>"20:26:27.306"</f>
        <v>20:26:27.306</v>
      </c>
      <c r="U979" t="str">
        <f t="shared" si="114"/>
        <v>AA0632</v>
      </c>
      <c r="V979">
        <v>0</v>
      </c>
      <c r="W979">
        <v>0</v>
      </c>
      <c r="X979">
        <v>2</v>
      </c>
      <c r="Y979">
        <v>0</v>
      </c>
      <c r="AA979">
        <v>0</v>
      </c>
      <c r="AB979">
        <v>9</v>
      </c>
      <c r="AC979">
        <v>3</v>
      </c>
      <c r="AD979">
        <v>0</v>
      </c>
      <c r="AE979">
        <v>10</v>
      </c>
      <c r="AF979" t="s">
        <v>126</v>
      </c>
      <c r="AG979">
        <v>0</v>
      </c>
      <c r="AH979">
        <v>0</v>
      </c>
      <c r="AI979">
        <v>2</v>
      </c>
      <c r="AJ979">
        <v>0</v>
      </c>
      <c r="AK979" t="s">
        <v>510</v>
      </c>
      <c r="AL979">
        <v>31.922922</v>
      </c>
      <c r="AM979" t="s">
        <v>605</v>
      </c>
      <c r="AN979">
        <v>-100.97154399999999</v>
      </c>
      <c r="AQ979" t="s">
        <v>129</v>
      </c>
      <c r="AR979">
        <v>92</v>
      </c>
      <c r="AS979">
        <v>-2</v>
      </c>
      <c r="AT979">
        <v>0</v>
      </c>
      <c r="BB979" t="str">
        <f t="shared" si="115"/>
        <v>1200</v>
      </c>
      <c r="BC979">
        <v>1</v>
      </c>
      <c r="BD979" t="str">
        <f t="shared" si="117"/>
        <v xml:space="preserve">N745MB  </v>
      </c>
      <c r="BE979">
        <v>1</v>
      </c>
      <c r="BG979">
        <v>0</v>
      </c>
      <c r="BH979">
        <v>0</v>
      </c>
      <c r="BI979">
        <v>0</v>
      </c>
      <c r="BL979" t="s">
        <v>130</v>
      </c>
      <c r="BM979">
        <v>1</v>
      </c>
      <c r="BN979">
        <v>0</v>
      </c>
      <c r="BO979">
        <v>0</v>
      </c>
      <c r="BP979">
        <v>0</v>
      </c>
      <c r="BT979">
        <v>0</v>
      </c>
      <c r="BU979">
        <v>0</v>
      </c>
      <c r="CE979" t="str">
        <f>"20:26:28.410"</f>
        <v>20:26:28.410</v>
      </c>
      <c r="CF979">
        <v>410311830</v>
      </c>
      <c r="CS979">
        <v>0</v>
      </c>
      <c r="CT979">
        <v>2</v>
      </c>
      <c r="CU979">
        <v>0</v>
      </c>
      <c r="CV979">
        <v>2</v>
      </c>
      <c r="CW979">
        <v>0</v>
      </c>
      <c r="CX979">
        <v>3</v>
      </c>
      <c r="CY979">
        <v>7</v>
      </c>
      <c r="CZ979" t="s">
        <v>131</v>
      </c>
      <c r="DA979">
        <v>483</v>
      </c>
      <c r="DB979">
        <v>1</v>
      </c>
      <c r="DC979" t="s">
        <v>169</v>
      </c>
      <c r="DD979" t="s">
        <v>170</v>
      </c>
      <c r="DG979">
        <v>7380760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1</v>
      </c>
      <c r="DQ979">
        <v>0</v>
      </c>
      <c r="DR979">
        <v>0</v>
      </c>
      <c r="DS979">
        <v>0</v>
      </c>
    </row>
    <row r="980" spans="1:123" x14ac:dyDescent="0.25">
      <c r="A980" t="str">
        <f>"11/29/2023 20:26:28.962"</f>
        <v>11/29/2023 20:26:28.962</v>
      </c>
      <c r="C980" t="str">
        <f t="shared" si="116"/>
        <v>FFDF53C0</v>
      </c>
      <c r="D980" t="s">
        <v>164</v>
      </c>
      <c r="E980">
        <v>24</v>
      </c>
      <c r="F980">
        <v>2024</v>
      </c>
      <c r="G980" t="s">
        <v>165</v>
      </c>
      <c r="J980" t="s">
        <v>166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>"20:26:28.406"</f>
        <v>20:26:28.406</v>
      </c>
      <c r="T980" t="str">
        <f>"20:26:27.306"</f>
        <v>20:26:27.306</v>
      </c>
      <c r="U980" t="str">
        <f t="shared" si="114"/>
        <v>AA0632</v>
      </c>
      <c r="V980">
        <v>0</v>
      </c>
      <c r="W980">
        <v>0</v>
      </c>
      <c r="X980">
        <v>2</v>
      </c>
      <c r="Y980">
        <v>0</v>
      </c>
      <c r="AA980">
        <v>0</v>
      </c>
      <c r="AB980">
        <v>9</v>
      </c>
      <c r="AC980">
        <v>3</v>
      </c>
      <c r="AD980">
        <v>0</v>
      </c>
      <c r="AE980">
        <v>10</v>
      </c>
      <c r="AF980" t="s">
        <v>126</v>
      </c>
      <c r="AG980">
        <v>0</v>
      </c>
      <c r="AH980">
        <v>0</v>
      </c>
      <c r="AI980">
        <v>2</v>
      </c>
      <c r="AJ980">
        <v>0</v>
      </c>
      <c r="AK980" t="s">
        <v>510</v>
      </c>
      <c r="AL980">
        <v>31.922922</v>
      </c>
      <c r="AM980" t="s">
        <v>605</v>
      </c>
      <c r="AN980">
        <v>-100.97154399999999</v>
      </c>
      <c r="AQ980" t="s">
        <v>129</v>
      </c>
      <c r="AR980">
        <v>92</v>
      </c>
      <c r="AS980">
        <v>-2</v>
      </c>
      <c r="AT980">
        <v>0</v>
      </c>
      <c r="BB980" t="str">
        <f t="shared" si="115"/>
        <v>1200</v>
      </c>
      <c r="BC980">
        <v>1</v>
      </c>
      <c r="BD980" t="str">
        <f t="shared" si="117"/>
        <v xml:space="preserve">N745MB  </v>
      </c>
      <c r="BE980">
        <v>1</v>
      </c>
      <c r="BG980">
        <v>0</v>
      </c>
      <c r="BH980">
        <v>0</v>
      </c>
      <c r="BI980">
        <v>0</v>
      </c>
      <c r="BL980" t="s">
        <v>130</v>
      </c>
      <c r="BM980">
        <v>1</v>
      </c>
      <c r="BN980">
        <v>0</v>
      </c>
      <c r="BO980">
        <v>0</v>
      </c>
      <c r="BP980">
        <v>0</v>
      </c>
      <c r="BT980">
        <v>0</v>
      </c>
      <c r="BU980">
        <v>0</v>
      </c>
      <c r="CE980" t="str">
        <f>"20:26:28.410"</f>
        <v>20:26:28.410</v>
      </c>
      <c r="CF980">
        <v>410311830</v>
      </c>
      <c r="CS980">
        <v>0</v>
      </c>
      <c r="CT980">
        <v>2</v>
      </c>
      <c r="CU980">
        <v>0</v>
      </c>
      <c r="CV980">
        <v>2</v>
      </c>
      <c r="CW980">
        <v>0</v>
      </c>
      <c r="CX980">
        <v>3</v>
      </c>
      <c r="CY980">
        <v>7</v>
      </c>
      <c r="CZ980" t="s">
        <v>131</v>
      </c>
      <c r="DA980">
        <v>483</v>
      </c>
      <c r="DB980">
        <v>1</v>
      </c>
      <c r="DC980" t="s">
        <v>169</v>
      </c>
      <c r="DD980" t="s">
        <v>170</v>
      </c>
      <c r="DG980">
        <v>7380760</v>
      </c>
      <c r="DI980">
        <v>0</v>
      </c>
      <c r="DJ980">
        <v>0</v>
      </c>
      <c r="DK980">
        <v>1</v>
      </c>
      <c r="DL980">
        <v>0</v>
      </c>
      <c r="DM980">
        <v>0</v>
      </c>
      <c r="DN980">
        <v>0</v>
      </c>
      <c r="DO980">
        <v>0</v>
      </c>
      <c r="DP980">
        <v>1</v>
      </c>
      <c r="DQ980">
        <v>0</v>
      </c>
      <c r="DR980">
        <v>0</v>
      </c>
      <c r="DS980">
        <v>0</v>
      </c>
    </row>
    <row r="981" spans="1:123" x14ac:dyDescent="0.25">
      <c r="A981" t="str">
        <f>"11/29/2023 20:26:28.962"</f>
        <v>11/29/2023 20:26:28.962</v>
      </c>
      <c r="C981" t="str">
        <f t="shared" si="116"/>
        <v>FFDF53C0</v>
      </c>
      <c r="D981" t="s">
        <v>123</v>
      </c>
      <c r="E981">
        <v>14</v>
      </c>
      <c r="F981">
        <v>1014</v>
      </c>
      <c r="G981" t="s">
        <v>124</v>
      </c>
      <c r="J981" t="s">
        <v>125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>"20:26:28.406"</f>
        <v>20:26:28.406</v>
      </c>
      <c r="T981" t="str">
        <f>"20:26:27.306"</f>
        <v>20:26:27.306</v>
      </c>
      <c r="U981" t="str">
        <f t="shared" si="114"/>
        <v>AA0632</v>
      </c>
      <c r="V981">
        <v>0</v>
      </c>
      <c r="W981">
        <v>0</v>
      </c>
      <c r="X981">
        <v>2</v>
      </c>
      <c r="Y981">
        <v>0</v>
      </c>
      <c r="AA981">
        <v>0</v>
      </c>
      <c r="AB981">
        <v>9</v>
      </c>
      <c r="AC981">
        <v>3</v>
      </c>
      <c r="AD981">
        <v>0</v>
      </c>
      <c r="AE981">
        <v>10</v>
      </c>
      <c r="AF981" t="s">
        <v>126</v>
      </c>
      <c r="AG981">
        <v>0</v>
      </c>
      <c r="AH981">
        <v>0</v>
      </c>
      <c r="AI981">
        <v>2</v>
      </c>
      <c r="AJ981">
        <v>0</v>
      </c>
      <c r="AK981" t="s">
        <v>510</v>
      </c>
      <c r="AL981">
        <v>31.922922</v>
      </c>
      <c r="AM981" t="s">
        <v>605</v>
      </c>
      <c r="AN981">
        <v>-100.97154399999999</v>
      </c>
      <c r="AQ981" t="s">
        <v>129</v>
      </c>
      <c r="AR981">
        <v>92</v>
      </c>
      <c r="AS981">
        <v>-2</v>
      </c>
      <c r="AT981">
        <v>0</v>
      </c>
      <c r="BB981" t="str">
        <f t="shared" si="115"/>
        <v>1200</v>
      </c>
      <c r="BC981">
        <v>1</v>
      </c>
      <c r="BD981" t="str">
        <f t="shared" si="117"/>
        <v xml:space="preserve">N745MB  </v>
      </c>
      <c r="BE981">
        <v>1</v>
      </c>
      <c r="BG981">
        <v>0</v>
      </c>
      <c r="BH981">
        <v>0</v>
      </c>
      <c r="BI981">
        <v>0</v>
      </c>
      <c r="BL981" t="s">
        <v>130</v>
      </c>
      <c r="BM981">
        <v>1</v>
      </c>
      <c r="BN981">
        <v>0</v>
      </c>
      <c r="BO981">
        <v>0</v>
      </c>
      <c r="BP981">
        <v>0</v>
      </c>
      <c r="BT981">
        <v>0</v>
      </c>
      <c r="BU981">
        <v>0</v>
      </c>
      <c r="CE981" t="str">
        <f>"20:26:28.410"</f>
        <v>20:26:28.410</v>
      </c>
      <c r="CF981">
        <v>410311830</v>
      </c>
      <c r="CS981">
        <v>0</v>
      </c>
      <c r="CT981">
        <v>2</v>
      </c>
      <c r="CU981">
        <v>0</v>
      </c>
      <c r="CV981">
        <v>2</v>
      </c>
      <c r="CW981">
        <v>0</v>
      </c>
      <c r="CX981">
        <v>3</v>
      </c>
      <c r="CY981">
        <v>7</v>
      </c>
      <c r="CZ981" t="s">
        <v>131</v>
      </c>
      <c r="DA981">
        <v>483</v>
      </c>
      <c r="DB981">
        <v>1</v>
      </c>
      <c r="DC981" t="s">
        <v>169</v>
      </c>
      <c r="DD981" t="s">
        <v>170</v>
      </c>
      <c r="DG981">
        <v>7380760</v>
      </c>
      <c r="DI981">
        <v>0</v>
      </c>
      <c r="DJ981">
        <v>0</v>
      </c>
      <c r="DK981">
        <v>1</v>
      </c>
      <c r="DL981">
        <v>0</v>
      </c>
      <c r="DM981">
        <v>0</v>
      </c>
      <c r="DN981">
        <v>0</v>
      </c>
      <c r="DO981">
        <v>0</v>
      </c>
      <c r="DP981">
        <v>1</v>
      </c>
      <c r="DQ981">
        <v>0</v>
      </c>
      <c r="DR981">
        <v>0</v>
      </c>
      <c r="DS981">
        <v>0</v>
      </c>
    </row>
    <row r="982" spans="1:123" x14ac:dyDescent="0.25">
      <c r="A982" t="str">
        <f>"11/29/2023 20:26:30.665"</f>
        <v>11/29/2023 20:26:30.665</v>
      </c>
      <c r="C982" t="str">
        <f t="shared" si="116"/>
        <v>FFDF53C0</v>
      </c>
      <c r="D982" t="s">
        <v>123</v>
      </c>
      <c r="E982">
        <v>14</v>
      </c>
      <c r="F982">
        <v>1014</v>
      </c>
      <c r="G982" t="s">
        <v>124</v>
      </c>
      <c r="J982" t="s">
        <v>125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>"20:26:30.305"</f>
        <v>20:26:30.305</v>
      </c>
      <c r="T982" t="str">
        <f>"20:26:30.005"</f>
        <v>20:26:30.005</v>
      </c>
      <c r="U982" t="str">
        <f t="shared" si="114"/>
        <v>AA0632</v>
      </c>
      <c r="V982">
        <v>0</v>
      </c>
      <c r="W982">
        <v>0</v>
      </c>
      <c r="X982">
        <v>2</v>
      </c>
      <c r="Y982">
        <v>0</v>
      </c>
      <c r="AA982">
        <v>0</v>
      </c>
      <c r="AB982">
        <v>9</v>
      </c>
      <c r="AC982">
        <v>3</v>
      </c>
      <c r="AD982">
        <v>0</v>
      </c>
      <c r="AE982">
        <v>10</v>
      </c>
      <c r="AF982" t="s">
        <v>126</v>
      </c>
      <c r="AG982">
        <v>0</v>
      </c>
      <c r="AH982">
        <v>0</v>
      </c>
      <c r="AI982">
        <v>2</v>
      </c>
      <c r="AJ982">
        <v>0</v>
      </c>
      <c r="AK982" t="s">
        <v>510</v>
      </c>
      <c r="AL982">
        <v>31.922922</v>
      </c>
      <c r="AM982" t="s">
        <v>606</v>
      </c>
      <c r="AN982">
        <v>-100.970643</v>
      </c>
      <c r="AQ982" t="s">
        <v>129</v>
      </c>
      <c r="AR982">
        <v>88</v>
      </c>
      <c r="AS982">
        <v>-1</v>
      </c>
      <c r="AT982">
        <v>-128</v>
      </c>
      <c r="BB982" t="str">
        <f t="shared" si="115"/>
        <v>1200</v>
      </c>
      <c r="BC982">
        <v>1</v>
      </c>
      <c r="BD982" t="str">
        <f t="shared" si="117"/>
        <v xml:space="preserve">N745MB  </v>
      </c>
      <c r="BE982">
        <v>1</v>
      </c>
      <c r="BG982">
        <v>0</v>
      </c>
      <c r="BH982">
        <v>0</v>
      </c>
      <c r="BI982">
        <v>0</v>
      </c>
      <c r="BL982" t="s">
        <v>130</v>
      </c>
      <c r="BM982">
        <v>1</v>
      </c>
      <c r="BN982">
        <v>0</v>
      </c>
      <c r="BO982">
        <v>0</v>
      </c>
      <c r="BP982">
        <v>0</v>
      </c>
      <c r="BT982">
        <v>0</v>
      </c>
      <c r="BU982">
        <v>0</v>
      </c>
      <c r="CE982" t="str">
        <f>"20:26:30.306"</f>
        <v>20:26:30.306</v>
      </c>
      <c r="CF982">
        <v>306181657</v>
      </c>
      <c r="CS982">
        <v>0</v>
      </c>
      <c r="CT982">
        <v>2</v>
      </c>
      <c r="CU982">
        <v>0</v>
      </c>
      <c r="CV982">
        <v>2</v>
      </c>
      <c r="CW982">
        <v>0</v>
      </c>
      <c r="CX982">
        <v>5</v>
      </c>
      <c r="CY982">
        <v>7</v>
      </c>
      <c r="CZ982" t="s">
        <v>131</v>
      </c>
      <c r="DA982">
        <v>116</v>
      </c>
      <c r="DB982">
        <v>0</v>
      </c>
      <c r="DC982" t="s">
        <v>132</v>
      </c>
      <c r="DD982" t="s">
        <v>133</v>
      </c>
      <c r="DG982">
        <v>14699026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1</v>
      </c>
      <c r="DQ982">
        <v>0</v>
      </c>
      <c r="DR982">
        <v>0</v>
      </c>
      <c r="DS982">
        <v>0</v>
      </c>
    </row>
    <row r="983" spans="1:123" x14ac:dyDescent="0.25">
      <c r="A983" t="str">
        <f>"11/29/2023 20:26:30.665"</f>
        <v>11/29/2023 20:26:30.665</v>
      </c>
      <c r="C983" t="str">
        <f t="shared" si="116"/>
        <v>FFDF53C0</v>
      </c>
      <c r="D983" t="s">
        <v>123</v>
      </c>
      <c r="E983">
        <v>1</v>
      </c>
      <c r="F983">
        <v>1001</v>
      </c>
      <c r="G983" t="s">
        <v>134</v>
      </c>
      <c r="J983" t="s">
        <v>125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>"20:26:30.305"</f>
        <v>20:26:30.305</v>
      </c>
      <c r="T983" t="str">
        <f>"20:26:30.005"</f>
        <v>20:26:30.005</v>
      </c>
      <c r="U983" t="str">
        <f t="shared" si="114"/>
        <v>AA0632</v>
      </c>
      <c r="V983">
        <v>0</v>
      </c>
      <c r="W983">
        <v>0</v>
      </c>
      <c r="X983">
        <v>2</v>
      </c>
      <c r="Y983">
        <v>0</v>
      </c>
      <c r="AA983">
        <v>0</v>
      </c>
      <c r="AB983">
        <v>9</v>
      </c>
      <c r="AC983">
        <v>3</v>
      </c>
      <c r="AD983">
        <v>0</v>
      </c>
      <c r="AE983">
        <v>10</v>
      </c>
      <c r="AF983" t="s">
        <v>126</v>
      </c>
      <c r="AG983">
        <v>0</v>
      </c>
      <c r="AH983">
        <v>0</v>
      </c>
      <c r="AI983">
        <v>2</v>
      </c>
      <c r="AJ983">
        <v>0</v>
      </c>
      <c r="AK983" t="s">
        <v>510</v>
      </c>
      <c r="AL983">
        <v>31.922922</v>
      </c>
      <c r="AM983" t="s">
        <v>606</v>
      </c>
      <c r="AN983">
        <v>-100.970643</v>
      </c>
      <c r="AQ983" t="s">
        <v>129</v>
      </c>
      <c r="AR983">
        <v>88</v>
      </c>
      <c r="AS983">
        <v>-1</v>
      </c>
      <c r="AT983">
        <v>-128</v>
      </c>
      <c r="BB983" t="str">
        <f t="shared" si="115"/>
        <v>1200</v>
      </c>
      <c r="BC983">
        <v>1</v>
      </c>
      <c r="BD983" t="str">
        <f t="shared" si="117"/>
        <v xml:space="preserve">N745MB  </v>
      </c>
      <c r="BE983">
        <v>1</v>
      </c>
      <c r="BG983">
        <v>0</v>
      </c>
      <c r="BH983">
        <v>0</v>
      </c>
      <c r="BI983">
        <v>0</v>
      </c>
      <c r="BL983" t="s">
        <v>130</v>
      </c>
      <c r="BM983">
        <v>1</v>
      </c>
      <c r="BN983">
        <v>0</v>
      </c>
      <c r="BO983">
        <v>0</v>
      </c>
      <c r="BP983">
        <v>0</v>
      </c>
      <c r="BT983">
        <v>0</v>
      </c>
      <c r="BU983">
        <v>0</v>
      </c>
      <c r="CE983" t="str">
        <f>"20:26:30.306"</f>
        <v>20:26:30.306</v>
      </c>
      <c r="CF983">
        <v>306181657</v>
      </c>
      <c r="CS983">
        <v>0</v>
      </c>
      <c r="CT983">
        <v>2</v>
      </c>
      <c r="CU983">
        <v>0</v>
      </c>
      <c r="CV983">
        <v>2</v>
      </c>
      <c r="CW983">
        <v>0</v>
      </c>
      <c r="CX983">
        <v>5</v>
      </c>
      <c r="CY983">
        <v>7</v>
      </c>
      <c r="CZ983" t="s">
        <v>131</v>
      </c>
      <c r="DA983">
        <v>116</v>
      </c>
      <c r="DB983">
        <v>0</v>
      </c>
      <c r="DC983" t="s">
        <v>132</v>
      </c>
      <c r="DD983" t="s">
        <v>133</v>
      </c>
      <c r="DG983">
        <v>14699026</v>
      </c>
      <c r="DI983">
        <v>0</v>
      </c>
      <c r="DJ983">
        <v>0</v>
      </c>
      <c r="DK983">
        <v>1</v>
      </c>
      <c r="DL983">
        <v>0</v>
      </c>
      <c r="DM983">
        <v>0</v>
      </c>
      <c r="DN983">
        <v>0</v>
      </c>
      <c r="DO983">
        <v>0</v>
      </c>
      <c r="DP983">
        <v>1</v>
      </c>
      <c r="DQ983">
        <v>0</v>
      </c>
      <c r="DR983">
        <v>0</v>
      </c>
      <c r="DS983">
        <v>0</v>
      </c>
    </row>
    <row r="984" spans="1:123" x14ac:dyDescent="0.25">
      <c r="A984" t="str">
        <f>"11/29/2023 20:26:30.665"</f>
        <v>11/29/2023 20:26:30.665</v>
      </c>
      <c r="C984" t="str">
        <f t="shared" si="116"/>
        <v>FFDF53C0</v>
      </c>
      <c r="D984" t="s">
        <v>138</v>
      </c>
      <c r="E984">
        <v>3</v>
      </c>
      <c r="H984">
        <v>160</v>
      </c>
      <c r="I984" t="s">
        <v>124</v>
      </c>
      <c r="J984" t="s">
        <v>139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>"20:26:30.305"</f>
        <v>20:26:30.305</v>
      </c>
      <c r="T984" t="str">
        <f>"20:26:30.005"</f>
        <v>20:26:30.005</v>
      </c>
      <c r="U984" t="str">
        <f t="shared" si="114"/>
        <v>AA0632</v>
      </c>
      <c r="V984">
        <v>0</v>
      </c>
      <c r="W984">
        <v>0</v>
      </c>
      <c r="X984">
        <v>2</v>
      </c>
      <c r="Y984">
        <v>0</v>
      </c>
      <c r="AA984">
        <v>0</v>
      </c>
      <c r="AB984">
        <v>9</v>
      </c>
      <c r="AC984">
        <v>3</v>
      </c>
      <c r="AD984">
        <v>0</v>
      </c>
      <c r="AE984">
        <v>10</v>
      </c>
      <c r="AF984" t="s">
        <v>126</v>
      </c>
      <c r="AG984">
        <v>0</v>
      </c>
      <c r="AH984">
        <v>0</v>
      </c>
      <c r="AI984">
        <v>2</v>
      </c>
      <c r="AJ984">
        <v>0</v>
      </c>
      <c r="AK984" t="s">
        <v>510</v>
      </c>
      <c r="AL984">
        <v>31.922922</v>
      </c>
      <c r="AM984" t="s">
        <v>606</v>
      </c>
      <c r="AN984">
        <v>-100.970643</v>
      </c>
      <c r="AQ984" t="s">
        <v>129</v>
      </c>
      <c r="AR984">
        <v>88</v>
      </c>
      <c r="AS984">
        <v>-1</v>
      </c>
      <c r="AT984">
        <v>-128</v>
      </c>
      <c r="BB984" t="str">
        <f t="shared" si="115"/>
        <v>1200</v>
      </c>
      <c r="BC984">
        <v>1</v>
      </c>
      <c r="BD984" t="str">
        <f t="shared" si="117"/>
        <v xml:space="preserve">N745MB  </v>
      </c>
      <c r="BE984">
        <v>1</v>
      </c>
      <c r="BG984">
        <v>0</v>
      </c>
      <c r="BH984">
        <v>0</v>
      </c>
      <c r="BI984">
        <v>0</v>
      </c>
      <c r="BL984" t="s">
        <v>130</v>
      </c>
      <c r="BM984">
        <v>1</v>
      </c>
      <c r="BN984">
        <v>0</v>
      </c>
      <c r="BO984">
        <v>0</v>
      </c>
      <c r="BP984">
        <v>0</v>
      </c>
      <c r="BT984">
        <v>0</v>
      </c>
      <c r="BU984">
        <v>0</v>
      </c>
      <c r="CE984" t="str">
        <f>"20:26:30.306"</f>
        <v>20:26:30.306</v>
      </c>
      <c r="CF984">
        <v>306181657</v>
      </c>
      <c r="CS984">
        <v>0</v>
      </c>
      <c r="CT984">
        <v>2</v>
      </c>
      <c r="CU984">
        <v>0</v>
      </c>
      <c r="CV984">
        <v>2</v>
      </c>
      <c r="CW984">
        <v>0</v>
      </c>
      <c r="CX984">
        <v>5</v>
      </c>
      <c r="CY984">
        <v>7</v>
      </c>
      <c r="CZ984" t="s">
        <v>131</v>
      </c>
      <c r="DA984">
        <v>116</v>
      </c>
      <c r="DB984">
        <v>0</v>
      </c>
      <c r="DC984" t="s">
        <v>132</v>
      </c>
      <c r="DD984" t="s">
        <v>133</v>
      </c>
      <c r="DG984">
        <v>14699026</v>
      </c>
      <c r="DI984">
        <v>0</v>
      </c>
      <c r="DJ984">
        <v>0</v>
      </c>
      <c r="DK984">
        <v>1</v>
      </c>
      <c r="DL984">
        <v>0</v>
      </c>
      <c r="DM984">
        <v>0</v>
      </c>
      <c r="DN984">
        <v>0</v>
      </c>
      <c r="DO984">
        <v>0</v>
      </c>
      <c r="DP984">
        <v>1</v>
      </c>
      <c r="DQ984">
        <v>0</v>
      </c>
      <c r="DR984">
        <v>0</v>
      </c>
      <c r="DS984">
        <v>0</v>
      </c>
    </row>
    <row r="985" spans="1:123" x14ac:dyDescent="0.25">
      <c r="A985" t="str">
        <f>"11/29/2023 20:26:30.665"</f>
        <v>11/29/2023 20:26:30.665</v>
      </c>
      <c r="C985" t="str">
        <f t="shared" si="116"/>
        <v>FFDF53C0</v>
      </c>
      <c r="D985" t="s">
        <v>135</v>
      </c>
      <c r="E985">
        <v>31</v>
      </c>
      <c r="H985">
        <v>285</v>
      </c>
      <c r="I985" t="s">
        <v>136</v>
      </c>
      <c r="J985" t="s">
        <v>137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>"20:26:30.305"</f>
        <v>20:26:30.305</v>
      </c>
      <c r="T985" t="str">
        <f>"20:26:30.005"</f>
        <v>20:26:30.005</v>
      </c>
      <c r="U985" t="str">
        <f t="shared" si="114"/>
        <v>AA0632</v>
      </c>
      <c r="V985">
        <v>0</v>
      </c>
      <c r="W985">
        <v>0</v>
      </c>
      <c r="X985">
        <v>2</v>
      </c>
      <c r="Y985">
        <v>0</v>
      </c>
      <c r="AA985">
        <v>0</v>
      </c>
      <c r="AB985">
        <v>9</v>
      </c>
      <c r="AC985">
        <v>3</v>
      </c>
      <c r="AD985">
        <v>0</v>
      </c>
      <c r="AE985">
        <v>10</v>
      </c>
      <c r="AF985" t="s">
        <v>126</v>
      </c>
      <c r="AG985">
        <v>0</v>
      </c>
      <c r="AH985">
        <v>0</v>
      </c>
      <c r="AI985">
        <v>2</v>
      </c>
      <c r="AJ985">
        <v>0</v>
      </c>
      <c r="AK985" t="s">
        <v>510</v>
      </c>
      <c r="AL985">
        <v>31.922922</v>
      </c>
      <c r="AM985" t="s">
        <v>606</v>
      </c>
      <c r="AN985">
        <v>-100.970643</v>
      </c>
      <c r="AQ985" t="s">
        <v>129</v>
      </c>
      <c r="AR985">
        <v>88</v>
      </c>
      <c r="AS985">
        <v>-1</v>
      </c>
      <c r="AT985">
        <v>-128</v>
      </c>
      <c r="BB985" t="str">
        <f t="shared" si="115"/>
        <v>1200</v>
      </c>
      <c r="BC985">
        <v>1</v>
      </c>
      <c r="BD985" t="str">
        <f t="shared" si="117"/>
        <v xml:space="preserve">N745MB  </v>
      </c>
      <c r="BE985">
        <v>1</v>
      </c>
      <c r="BG985">
        <v>0</v>
      </c>
      <c r="BH985">
        <v>0</v>
      </c>
      <c r="BI985">
        <v>0</v>
      </c>
      <c r="BL985" t="s">
        <v>130</v>
      </c>
      <c r="BM985">
        <v>1</v>
      </c>
      <c r="BN985">
        <v>0</v>
      </c>
      <c r="BO985">
        <v>0</v>
      </c>
      <c r="BP985">
        <v>0</v>
      </c>
      <c r="BT985">
        <v>0</v>
      </c>
      <c r="BU985">
        <v>0</v>
      </c>
      <c r="CE985" t="str">
        <f>"20:26:30.306"</f>
        <v>20:26:30.306</v>
      </c>
      <c r="CF985">
        <v>306181657</v>
      </c>
      <c r="CS985">
        <v>0</v>
      </c>
      <c r="CT985">
        <v>2</v>
      </c>
      <c r="CU985">
        <v>0</v>
      </c>
      <c r="CV985">
        <v>2</v>
      </c>
      <c r="CW985">
        <v>0</v>
      </c>
      <c r="CX985">
        <v>5</v>
      </c>
      <c r="CY985">
        <v>7</v>
      </c>
      <c r="CZ985" t="s">
        <v>131</v>
      </c>
      <c r="DA985">
        <v>116</v>
      </c>
      <c r="DB985">
        <v>0</v>
      </c>
      <c r="DC985" t="s">
        <v>132</v>
      </c>
      <c r="DD985" t="s">
        <v>133</v>
      </c>
      <c r="DG985">
        <v>14699026</v>
      </c>
      <c r="DI985">
        <v>0</v>
      </c>
      <c r="DJ985">
        <v>0</v>
      </c>
      <c r="DK985">
        <v>1</v>
      </c>
      <c r="DL985">
        <v>0</v>
      </c>
      <c r="DM985">
        <v>0</v>
      </c>
      <c r="DN985">
        <v>0</v>
      </c>
      <c r="DO985">
        <v>0</v>
      </c>
      <c r="DP985">
        <v>1</v>
      </c>
      <c r="DQ985">
        <v>0</v>
      </c>
      <c r="DR985">
        <v>0</v>
      </c>
      <c r="DS985">
        <v>0</v>
      </c>
    </row>
    <row r="986" spans="1:123" x14ac:dyDescent="0.25">
      <c r="A986" t="str">
        <f>"11/29/2023 20:26:32.149"</f>
        <v>11/29/2023 20:26:32.149</v>
      </c>
      <c r="C986" t="str">
        <f t="shared" si="116"/>
        <v>FFDF53C0</v>
      </c>
      <c r="D986" t="s">
        <v>138</v>
      </c>
      <c r="E986">
        <v>3</v>
      </c>
      <c r="H986">
        <v>160</v>
      </c>
      <c r="I986" t="s">
        <v>124</v>
      </c>
      <c r="J986" t="s">
        <v>139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>"20:26:31.789"</f>
        <v>20:26:31.789</v>
      </c>
      <c r="T986" t="str">
        <f>"20:26:31.589"</f>
        <v>20:26:31.589</v>
      </c>
      <c r="U986" t="str">
        <f t="shared" si="114"/>
        <v>AA0632</v>
      </c>
      <c r="V986">
        <v>0</v>
      </c>
      <c r="W986">
        <v>0</v>
      </c>
      <c r="X986">
        <v>2</v>
      </c>
      <c r="Y986">
        <v>0</v>
      </c>
      <c r="AA986">
        <v>0</v>
      </c>
      <c r="AB986">
        <v>9</v>
      </c>
      <c r="AC986">
        <v>3</v>
      </c>
      <c r="AD986">
        <v>0</v>
      </c>
      <c r="AE986">
        <v>10</v>
      </c>
      <c r="AF986" t="s">
        <v>126</v>
      </c>
      <c r="AG986">
        <v>0</v>
      </c>
      <c r="AH986">
        <v>0</v>
      </c>
      <c r="AI986">
        <v>2</v>
      </c>
      <c r="AJ986">
        <v>0</v>
      </c>
      <c r="AK986" t="s">
        <v>510</v>
      </c>
      <c r="AL986">
        <v>31.922922</v>
      </c>
      <c r="AM986" t="s">
        <v>607</v>
      </c>
      <c r="AN986">
        <v>-100.969956</v>
      </c>
      <c r="AQ986" t="s">
        <v>129</v>
      </c>
      <c r="AR986">
        <v>85</v>
      </c>
      <c r="AS986">
        <v>-2</v>
      </c>
      <c r="AT986">
        <v>-128</v>
      </c>
      <c r="BB986" t="str">
        <f t="shared" si="115"/>
        <v>1200</v>
      </c>
      <c r="BC986">
        <v>1</v>
      </c>
      <c r="BD986" t="str">
        <f t="shared" si="117"/>
        <v xml:space="preserve">N745MB  </v>
      </c>
      <c r="BE986">
        <v>1</v>
      </c>
      <c r="BG986">
        <v>0</v>
      </c>
      <c r="BH986">
        <v>0</v>
      </c>
      <c r="BI986">
        <v>0</v>
      </c>
      <c r="BL986" t="s">
        <v>130</v>
      </c>
      <c r="BM986">
        <v>1</v>
      </c>
      <c r="BN986">
        <v>0</v>
      </c>
      <c r="BO986">
        <v>0</v>
      </c>
      <c r="BP986">
        <v>0</v>
      </c>
      <c r="BT986">
        <v>0</v>
      </c>
      <c r="BU986">
        <v>0</v>
      </c>
      <c r="CE986" t="str">
        <f>"20:26:31.794"</f>
        <v>20:26:31.794</v>
      </c>
      <c r="CF986">
        <v>794086671</v>
      </c>
      <c r="CS986">
        <v>0</v>
      </c>
      <c r="CT986">
        <v>2</v>
      </c>
      <c r="CU986">
        <v>0</v>
      </c>
      <c r="CV986">
        <v>2</v>
      </c>
      <c r="CW986">
        <v>0</v>
      </c>
      <c r="CX986">
        <v>4</v>
      </c>
      <c r="CY986">
        <v>7</v>
      </c>
      <c r="CZ986" t="s">
        <v>131</v>
      </c>
      <c r="DA986">
        <v>116</v>
      </c>
      <c r="DB986">
        <v>0</v>
      </c>
      <c r="DC986" t="s">
        <v>132</v>
      </c>
      <c r="DD986" t="s">
        <v>133</v>
      </c>
      <c r="DG986">
        <v>14700164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1</v>
      </c>
      <c r="DQ986">
        <v>0</v>
      </c>
      <c r="DR986">
        <v>0</v>
      </c>
      <c r="DS986">
        <v>0</v>
      </c>
    </row>
    <row r="987" spans="1:123" x14ac:dyDescent="0.25">
      <c r="A987" t="str">
        <f>"11/29/2023 20:26:32.243"</f>
        <v>11/29/2023 20:26:32.243</v>
      </c>
      <c r="C987" t="str">
        <f t="shared" si="116"/>
        <v>FFDF53C0</v>
      </c>
      <c r="D987" t="s">
        <v>164</v>
      </c>
      <c r="E987">
        <v>24</v>
      </c>
      <c r="F987">
        <v>2024</v>
      </c>
      <c r="G987" t="s">
        <v>165</v>
      </c>
      <c r="J987" t="s">
        <v>166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>"20:26:31.789"</f>
        <v>20:26:31.789</v>
      </c>
      <c r="T987" t="str">
        <f>"20:26:29.989"</f>
        <v>20:26:29.989</v>
      </c>
      <c r="U987" t="str">
        <f t="shared" si="114"/>
        <v>AA0632</v>
      </c>
      <c r="V987">
        <v>0</v>
      </c>
      <c r="W987">
        <v>0</v>
      </c>
      <c r="X987">
        <v>2</v>
      </c>
      <c r="Y987">
        <v>0</v>
      </c>
      <c r="AA987">
        <v>0</v>
      </c>
      <c r="AB987">
        <v>9</v>
      </c>
      <c r="AC987">
        <v>3</v>
      </c>
      <c r="AD987">
        <v>0</v>
      </c>
      <c r="AE987">
        <v>10</v>
      </c>
      <c r="AF987" t="s">
        <v>126</v>
      </c>
      <c r="AG987">
        <v>0</v>
      </c>
      <c r="AH987">
        <v>0</v>
      </c>
      <c r="AI987">
        <v>2</v>
      </c>
      <c r="AJ987">
        <v>0</v>
      </c>
      <c r="AK987" t="s">
        <v>510</v>
      </c>
      <c r="AL987">
        <v>31.922922</v>
      </c>
      <c r="AM987" t="s">
        <v>607</v>
      </c>
      <c r="AN987">
        <v>-100.969956</v>
      </c>
      <c r="AQ987" t="s">
        <v>129</v>
      </c>
      <c r="AR987">
        <v>88</v>
      </c>
      <c r="AS987">
        <v>-1</v>
      </c>
      <c r="AT987">
        <v>-128</v>
      </c>
      <c r="BB987" t="str">
        <f t="shared" si="115"/>
        <v>1200</v>
      </c>
      <c r="BC987">
        <v>1</v>
      </c>
      <c r="BD987" t="str">
        <f t="shared" si="117"/>
        <v xml:space="preserve">N745MB  </v>
      </c>
      <c r="BE987">
        <v>1</v>
      </c>
      <c r="BG987">
        <v>0</v>
      </c>
      <c r="BH987">
        <v>0</v>
      </c>
      <c r="BI987">
        <v>0</v>
      </c>
      <c r="BL987" t="s">
        <v>130</v>
      </c>
      <c r="BM987">
        <v>1</v>
      </c>
      <c r="BN987">
        <v>0</v>
      </c>
      <c r="BO987">
        <v>0</v>
      </c>
      <c r="BP987">
        <v>0</v>
      </c>
      <c r="BT987">
        <v>0</v>
      </c>
      <c r="BU987">
        <v>0</v>
      </c>
      <c r="CE987" t="str">
        <f>"20:26:31.794"</f>
        <v>20:26:31.794</v>
      </c>
      <c r="CF987">
        <v>794089841</v>
      </c>
      <c r="CS987">
        <v>0</v>
      </c>
      <c r="CT987">
        <v>2</v>
      </c>
      <c r="CU987">
        <v>0</v>
      </c>
      <c r="CV987">
        <v>2</v>
      </c>
      <c r="CW987">
        <v>0</v>
      </c>
      <c r="CX987">
        <v>1</v>
      </c>
      <c r="CY987">
        <v>7</v>
      </c>
      <c r="CZ987" t="s">
        <v>131</v>
      </c>
      <c r="DA987">
        <v>483</v>
      </c>
      <c r="DB987">
        <v>0</v>
      </c>
      <c r="DC987" t="s">
        <v>169</v>
      </c>
      <c r="DD987" t="s">
        <v>170</v>
      </c>
      <c r="DG987">
        <v>7381258</v>
      </c>
      <c r="DI987">
        <v>0</v>
      </c>
      <c r="DJ987">
        <v>0</v>
      </c>
      <c r="DK987">
        <v>1</v>
      </c>
      <c r="DL987">
        <v>0</v>
      </c>
      <c r="DM987">
        <v>0</v>
      </c>
      <c r="DN987">
        <v>0</v>
      </c>
      <c r="DO987">
        <v>0</v>
      </c>
      <c r="DP987">
        <v>1</v>
      </c>
      <c r="DQ987">
        <v>0</v>
      </c>
      <c r="DR987">
        <v>0</v>
      </c>
      <c r="DS987">
        <v>0</v>
      </c>
    </row>
    <row r="988" spans="1:123" x14ac:dyDescent="0.25">
      <c r="A988" t="str">
        <f>"11/29/2023 20:26:32.165"</f>
        <v>11/29/2023 20:26:32.165</v>
      </c>
      <c r="C988" t="str">
        <f t="shared" si="116"/>
        <v>FFDF53C0</v>
      </c>
      <c r="D988" t="s">
        <v>135</v>
      </c>
      <c r="E988">
        <v>31</v>
      </c>
      <c r="H988">
        <v>285</v>
      </c>
      <c r="I988" t="s">
        <v>136</v>
      </c>
      <c r="J988" t="s">
        <v>137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>"20:26:31.789"</f>
        <v>20:26:31.789</v>
      </c>
      <c r="T988" t="str">
        <f>"20:26:31.589"</f>
        <v>20:26:31.589</v>
      </c>
      <c r="U988" t="str">
        <f t="shared" si="114"/>
        <v>AA0632</v>
      </c>
      <c r="V988">
        <v>0</v>
      </c>
      <c r="W988">
        <v>0</v>
      </c>
      <c r="X988">
        <v>2</v>
      </c>
      <c r="Y988">
        <v>0</v>
      </c>
      <c r="AA988">
        <v>0</v>
      </c>
      <c r="AB988">
        <v>9</v>
      </c>
      <c r="AC988">
        <v>3</v>
      </c>
      <c r="AD988">
        <v>0</v>
      </c>
      <c r="AE988">
        <v>10</v>
      </c>
      <c r="AF988" t="s">
        <v>126</v>
      </c>
      <c r="AG988">
        <v>0</v>
      </c>
      <c r="AH988">
        <v>0</v>
      </c>
      <c r="AI988">
        <v>2</v>
      </c>
      <c r="AJ988">
        <v>0</v>
      </c>
      <c r="AK988" t="s">
        <v>510</v>
      </c>
      <c r="AL988">
        <v>31.922922</v>
      </c>
      <c r="AM988" t="s">
        <v>607</v>
      </c>
      <c r="AN988">
        <v>-100.969956</v>
      </c>
      <c r="AQ988" t="s">
        <v>129</v>
      </c>
      <c r="AR988">
        <v>85</v>
      </c>
      <c r="AS988">
        <v>-2</v>
      </c>
      <c r="AT988">
        <v>-128</v>
      </c>
      <c r="BB988" t="str">
        <f t="shared" si="115"/>
        <v>1200</v>
      </c>
      <c r="BC988">
        <v>1</v>
      </c>
      <c r="BD988" t="str">
        <f t="shared" si="117"/>
        <v xml:space="preserve">N745MB  </v>
      </c>
      <c r="BE988">
        <v>1</v>
      </c>
      <c r="BG988">
        <v>0</v>
      </c>
      <c r="BH988">
        <v>0</v>
      </c>
      <c r="BI988">
        <v>0</v>
      </c>
      <c r="BL988" t="s">
        <v>130</v>
      </c>
      <c r="BM988">
        <v>1</v>
      </c>
      <c r="BN988">
        <v>0</v>
      </c>
      <c r="BO988">
        <v>0</v>
      </c>
      <c r="BP988">
        <v>0</v>
      </c>
      <c r="BT988">
        <v>0</v>
      </c>
      <c r="BU988">
        <v>0</v>
      </c>
      <c r="CE988" t="str">
        <f>"20:26:31.794"</f>
        <v>20:26:31.794</v>
      </c>
      <c r="CF988">
        <v>794086671</v>
      </c>
      <c r="CS988">
        <v>0</v>
      </c>
      <c r="CT988">
        <v>2</v>
      </c>
      <c r="CU988">
        <v>0</v>
      </c>
      <c r="CV988">
        <v>2</v>
      </c>
      <c r="CW988">
        <v>0</v>
      </c>
      <c r="CX988">
        <v>4</v>
      </c>
      <c r="CY988">
        <v>7</v>
      </c>
      <c r="CZ988" t="s">
        <v>131</v>
      </c>
      <c r="DA988">
        <v>116</v>
      </c>
      <c r="DB988">
        <v>0</v>
      </c>
      <c r="DC988" t="s">
        <v>132</v>
      </c>
      <c r="DD988" t="s">
        <v>133</v>
      </c>
      <c r="DG988">
        <v>14700164</v>
      </c>
      <c r="DI988">
        <v>0</v>
      </c>
      <c r="DJ988">
        <v>0</v>
      </c>
      <c r="DK988">
        <v>1</v>
      </c>
      <c r="DL988">
        <v>0</v>
      </c>
      <c r="DM988">
        <v>0</v>
      </c>
      <c r="DN988">
        <v>0</v>
      </c>
      <c r="DO988">
        <v>0</v>
      </c>
      <c r="DP988">
        <v>1</v>
      </c>
      <c r="DQ988">
        <v>0</v>
      </c>
      <c r="DR988">
        <v>0</v>
      </c>
      <c r="DS988">
        <v>0</v>
      </c>
    </row>
    <row r="989" spans="1:123" x14ac:dyDescent="0.25">
      <c r="A989" t="str">
        <f>"11/29/2023 20:26:32.321"</f>
        <v>11/29/2023 20:26:32.321</v>
      </c>
      <c r="C989" t="str">
        <f t="shared" si="116"/>
        <v>FFDF53C0</v>
      </c>
      <c r="D989" t="s">
        <v>123</v>
      </c>
      <c r="E989">
        <v>14</v>
      </c>
      <c r="F989">
        <v>1014</v>
      </c>
      <c r="G989" t="s">
        <v>124</v>
      </c>
      <c r="J989" t="s">
        <v>125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>"20:26:31.789"</f>
        <v>20:26:31.789</v>
      </c>
      <c r="T989" t="str">
        <f>"20:26:31.589"</f>
        <v>20:26:31.589</v>
      </c>
      <c r="U989" t="str">
        <f t="shared" si="114"/>
        <v>AA0632</v>
      </c>
      <c r="V989">
        <v>0</v>
      </c>
      <c r="W989">
        <v>0</v>
      </c>
      <c r="X989">
        <v>2</v>
      </c>
      <c r="Y989">
        <v>0</v>
      </c>
      <c r="AA989">
        <v>0</v>
      </c>
      <c r="AB989">
        <v>9</v>
      </c>
      <c r="AC989">
        <v>3</v>
      </c>
      <c r="AD989">
        <v>0</v>
      </c>
      <c r="AE989">
        <v>10</v>
      </c>
      <c r="AF989" t="s">
        <v>126</v>
      </c>
      <c r="AG989">
        <v>0</v>
      </c>
      <c r="AH989">
        <v>0</v>
      </c>
      <c r="AI989">
        <v>2</v>
      </c>
      <c r="AJ989">
        <v>0</v>
      </c>
      <c r="AK989" t="s">
        <v>510</v>
      </c>
      <c r="AL989">
        <v>31.922922</v>
      </c>
      <c r="AM989" t="s">
        <v>607</v>
      </c>
      <c r="AN989">
        <v>-100.969956</v>
      </c>
      <c r="AQ989" t="s">
        <v>129</v>
      </c>
      <c r="AR989">
        <v>85</v>
      </c>
      <c r="AS989">
        <v>-2</v>
      </c>
      <c r="AT989">
        <v>-128</v>
      </c>
      <c r="BB989" t="str">
        <f t="shared" si="115"/>
        <v>1200</v>
      </c>
      <c r="BC989">
        <v>1</v>
      </c>
      <c r="BD989" t="str">
        <f t="shared" si="117"/>
        <v xml:space="preserve">N745MB  </v>
      </c>
      <c r="BE989">
        <v>1</v>
      </c>
      <c r="BG989">
        <v>0</v>
      </c>
      <c r="BH989">
        <v>0</v>
      </c>
      <c r="BI989">
        <v>0</v>
      </c>
      <c r="BL989" t="s">
        <v>130</v>
      </c>
      <c r="BM989">
        <v>1</v>
      </c>
      <c r="BN989">
        <v>0</v>
      </c>
      <c r="BO989">
        <v>0</v>
      </c>
      <c r="BP989">
        <v>0</v>
      </c>
      <c r="BT989">
        <v>0</v>
      </c>
      <c r="BU989">
        <v>0</v>
      </c>
      <c r="CE989" t="str">
        <f>"20:26:31.794"</f>
        <v>20:26:31.794</v>
      </c>
      <c r="CF989">
        <v>794086671</v>
      </c>
      <c r="CS989">
        <v>0</v>
      </c>
      <c r="CT989">
        <v>2</v>
      </c>
      <c r="CU989">
        <v>0</v>
      </c>
      <c r="CV989">
        <v>2</v>
      </c>
      <c r="CW989">
        <v>0</v>
      </c>
      <c r="CX989">
        <v>4</v>
      </c>
      <c r="CY989">
        <v>7</v>
      </c>
      <c r="CZ989" t="s">
        <v>131</v>
      </c>
      <c r="DA989">
        <v>116</v>
      </c>
      <c r="DB989">
        <v>0</v>
      </c>
      <c r="DC989" t="s">
        <v>132</v>
      </c>
      <c r="DD989" t="s">
        <v>133</v>
      </c>
      <c r="DG989">
        <v>14700164</v>
      </c>
      <c r="DI989">
        <v>0</v>
      </c>
      <c r="DJ989">
        <v>0</v>
      </c>
      <c r="DK989">
        <v>1</v>
      </c>
      <c r="DL989">
        <v>0</v>
      </c>
      <c r="DM989">
        <v>0</v>
      </c>
      <c r="DN989">
        <v>0</v>
      </c>
      <c r="DO989">
        <v>0</v>
      </c>
      <c r="DP989">
        <v>1</v>
      </c>
      <c r="DQ989">
        <v>0</v>
      </c>
      <c r="DR989">
        <v>0</v>
      </c>
      <c r="DS989">
        <v>0</v>
      </c>
    </row>
    <row r="990" spans="1:123" x14ac:dyDescent="0.25">
      <c r="A990" t="str">
        <f>"11/29/2023 20:26:32.321"</f>
        <v>11/29/2023 20:26:32.321</v>
      </c>
      <c r="C990" t="str">
        <f t="shared" si="116"/>
        <v>FFDF53C0</v>
      </c>
      <c r="D990" t="s">
        <v>123</v>
      </c>
      <c r="E990">
        <v>1</v>
      </c>
      <c r="F990">
        <v>1001</v>
      </c>
      <c r="G990" t="s">
        <v>134</v>
      </c>
      <c r="J990" t="s">
        <v>125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>"20:26:31.789"</f>
        <v>20:26:31.789</v>
      </c>
      <c r="T990" t="str">
        <f>"20:26:31.589"</f>
        <v>20:26:31.589</v>
      </c>
      <c r="U990" t="str">
        <f t="shared" si="114"/>
        <v>AA0632</v>
      </c>
      <c r="V990">
        <v>0</v>
      </c>
      <c r="W990">
        <v>0</v>
      </c>
      <c r="X990">
        <v>2</v>
      </c>
      <c r="Y990">
        <v>0</v>
      </c>
      <c r="AA990">
        <v>0</v>
      </c>
      <c r="AB990">
        <v>9</v>
      </c>
      <c r="AC990">
        <v>3</v>
      </c>
      <c r="AD990">
        <v>0</v>
      </c>
      <c r="AE990">
        <v>10</v>
      </c>
      <c r="AF990" t="s">
        <v>126</v>
      </c>
      <c r="AG990">
        <v>0</v>
      </c>
      <c r="AH990">
        <v>0</v>
      </c>
      <c r="AI990">
        <v>2</v>
      </c>
      <c r="AJ990">
        <v>0</v>
      </c>
      <c r="AK990" t="s">
        <v>510</v>
      </c>
      <c r="AL990">
        <v>31.922922</v>
      </c>
      <c r="AM990" t="s">
        <v>607</v>
      </c>
      <c r="AN990">
        <v>-100.969956</v>
      </c>
      <c r="AQ990" t="s">
        <v>129</v>
      </c>
      <c r="AR990">
        <v>85</v>
      </c>
      <c r="AS990">
        <v>-2</v>
      </c>
      <c r="AT990">
        <v>-128</v>
      </c>
      <c r="BB990" t="str">
        <f t="shared" si="115"/>
        <v>1200</v>
      </c>
      <c r="BC990">
        <v>1</v>
      </c>
      <c r="BD990" t="str">
        <f t="shared" si="117"/>
        <v xml:space="preserve">N745MB  </v>
      </c>
      <c r="BE990">
        <v>1</v>
      </c>
      <c r="BG990">
        <v>0</v>
      </c>
      <c r="BH990">
        <v>0</v>
      </c>
      <c r="BI990">
        <v>0</v>
      </c>
      <c r="BL990" t="s">
        <v>130</v>
      </c>
      <c r="BM990">
        <v>1</v>
      </c>
      <c r="BN990">
        <v>0</v>
      </c>
      <c r="BO990">
        <v>0</v>
      </c>
      <c r="BP990">
        <v>0</v>
      </c>
      <c r="BT990">
        <v>0</v>
      </c>
      <c r="BU990">
        <v>0</v>
      </c>
      <c r="CE990" t="str">
        <f>"20:26:31.794"</f>
        <v>20:26:31.794</v>
      </c>
      <c r="CF990">
        <v>794086671</v>
      </c>
      <c r="CS990">
        <v>0</v>
      </c>
      <c r="CT990">
        <v>2</v>
      </c>
      <c r="CU990">
        <v>0</v>
      </c>
      <c r="CV990">
        <v>2</v>
      </c>
      <c r="CW990">
        <v>0</v>
      </c>
      <c r="CX990">
        <v>4</v>
      </c>
      <c r="CY990">
        <v>7</v>
      </c>
      <c r="CZ990" t="s">
        <v>131</v>
      </c>
      <c r="DA990">
        <v>116</v>
      </c>
      <c r="DB990">
        <v>0</v>
      </c>
      <c r="DC990" t="s">
        <v>132</v>
      </c>
      <c r="DD990" t="s">
        <v>133</v>
      </c>
      <c r="DG990">
        <v>14700164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1</v>
      </c>
      <c r="DQ990">
        <v>0</v>
      </c>
      <c r="DR990">
        <v>0</v>
      </c>
      <c r="DS990">
        <v>0</v>
      </c>
    </row>
    <row r="991" spans="1:123" x14ac:dyDescent="0.25">
      <c r="A991" t="str">
        <f>"11/29/2023 20:26:33.399"</f>
        <v>11/29/2023 20:26:33.399</v>
      </c>
      <c r="C991" t="str">
        <f t="shared" si="116"/>
        <v>FFDF53C0</v>
      </c>
      <c r="D991" t="s">
        <v>138</v>
      </c>
      <c r="E991">
        <v>3</v>
      </c>
      <c r="H991">
        <v>160</v>
      </c>
      <c r="I991" t="s">
        <v>124</v>
      </c>
      <c r="J991" t="s">
        <v>139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>"20:26:32.813"</f>
        <v>20:26:32.813</v>
      </c>
      <c r="T991" t="str">
        <f>"20:26:32.012"</f>
        <v>20:26:32.012</v>
      </c>
      <c r="U991" t="str">
        <f t="shared" si="114"/>
        <v>AA0632</v>
      </c>
      <c r="V991">
        <v>0</v>
      </c>
      <c r="W991">
        <v>0</v>
      </c>
      <c r="X991">
        <v>2</v>
      </c>
      <c r="Y991">
        <v>0</v>
      </c>
      <c r="AA991">
        <v>0</v>
      </c>
      <c r="AB991">
        <v>9</v>
      </c>
      <c r="AC991">
        <v>3</v>
      </c>
      <c r="AD991">
        <v>0</v>
      </c>
      <c r="AE991">
        <v>10</v>
      </c>
      <c r="AF991" t="s">
        <v>126</v>
      </c>
      <c r="AG991">
        <v>0</v>
      </c>
      <c r="AH991">
        <v>0</v>
      </c>
      <c r="AI991">
        <v>2</v>
      </c>
      <c r="AJ991">
        <v>0</v>
      </c>
      <c r="AK991" t="s">
        <v>512</v>
      </c>
      <c r="AL991">
        <v>31.922878999999998</v>
      </c>
      <c r="AM991" t="s">
        <v>608</v>
      </c>
      <c r="AN991">
        <v>-100.969527</v>
      </c>
      <c r="AQ991" t="s">
        <v>129</v>
      </c>
      <c r="AR991">
        <v>84</v>
      </c>
      <c r="AS991">
        <v>-4</v>
      </c>
      <c r="AT991">
        <v>-128</v>
      </c>
      <c r="BB991" t="str">
        <f t="shared" si="115"/>
        <v>1200</v>
      </c>
      <c r="BC991">
        <v>1</v>
      </c>
      <c r="BD991" t="str">
        <f t="shared" si="117"/>
        <v xml:space="preserve">N745MB  </v>
      </c>
      <c r="BE991">
        <v>1</v>
      </c>
      <c r="BG991">
        <v>0</v>
      </c>
      <c r="BH991">
        <v>0</v>
      </c>
      <c r="BI991">
        <v>0</v>
      </c>
      <c r="BL991" t="s">
        <v>130</v>
      </c>
      <c r="BM991">
        <v>1</v>
      </c>
      <c r="BN991">
        <v>0</v>
      </c>
      <c r="BO991">
        <v>0</v>
      </c>
      <c r="BP991">
        <v>0</v>
      </c>
      <c r="BT991">
        <v>0</v>
      </c>
      <c r="BU991">
        <v>0</v>
      </c>
      <c r="CE991" t="str">
        <f>"20:26:32.816"</f>
        <v>20:26:32.816</v>
      </c>
      <c r="CF991">
        <v>816016844</v>
      </c>
      <c r="CS991">
        <v>0</v>
      </c>
      <c r="CT991">
        <v>2</v>
      </c>
      <c r="CU991">
        <v>0</v>
      </c>
      <c r="CV991">
        <v>2</v>
      </c>
      <c r="CW991">
        <v>0</v>
      </c>
      <c r="CX991">
        <v>2</v>
      </c>
      <c r="CY991">
        <v>7</v>
      </c>
      <c r="CZ991" t="s">
        <v>131</v>
      </c>
      <c r="DA991">
        <v>483</v>
      </c>
      <c r="DB991">
        <v>0</v>
      </c>
      <c r="DC991" t="s">
        <v>169</v>
      </c>
      <c r="DD991" t="s">
        <v>170</v>
      </c>
      <c r="DG991">
        <v>7381412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1</v>
      </c>
      <c r="DQ991">
        <v>0</v>
      </c>
      <c r="DR991">
        <v>0</v>
      </c>
      <c r="DS991">
        <v>0</v>
      </c>
    </row>
    <row r="992" spans="1:123" x14ac:dyDescent="0.25">
      <c r="A992" t="str">
        <f>"11/29/2023 20:26:33.399"</f>
        <v>11/29/2023 20:26:33.399</v>
      </c>
      <c r="C992" t="str">
        <f t="shared" si="116"/>
        <v>FFDF53C0</v>
      </c>
      <c r="D992" t="s">
        <v>164</v>
      </c>
      <c r="E992">
        <v>24</v>
      </c>
      <c r="F992">
        <v>2024</v>
      </c>
      <c r="G992" t="s">
        <v>165</v>
      </c>
      <c r="J992" t="s">
        <v>166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>"20:26:32.813"</f>
        <v>20:26:32.813</v>
      </c>
      <c r="T992" t="str">
        <f>"20:26:32.012"</f>
        <v>20:26:32.012</v>
      </c>
      <c r="U992" t="str">
        <f t="shared" si="114"/>
        <v>AA0632</v>
      </c>
      <c r="V992">
        <v>0</v>
      </c>
      <c r="W992">
        <v>0</v>
      </c>
      <c r="X992">
        <v>2</v>
      </c>
      <c r="Y992">
        <v>0</v>
      </c>
      <c r="AA992">
        <v>0</v>
      </c>
      <c r="AB992">
        <v>9</v>
      </c>
      <c r="AC992">
        <v>3</v>
      </c>
      <c r="AD992">
        <v>0</v>
      </c>
      <c r="AE992">
        <v>10</v>
      </c>
      <c r="AF992" t="s">
        <v>126</v>
      </c>
      <c r="AG992">
        <v>0</v>
      </c>
      <c r="AH992">
        <v>0</v>
      </c>
      <c r="AI992">
        <v>2</v>
      </c>
      <c r="AJ992">
        <v>0</v>
      </c>
      <c r="AK992" t="s">
        <v>512</v>
      </c>
      <c r="AL992">
        <v>31.922878999999998</v>
      </c>
      <c r="AM992" t="s">
        <v>608</v>
      </c>
      <c r="AN992">
        <v>-100.969527</v>
      </c>
      <c r="AQ992" t="s">
        <v>129</v>
      </c>
      <c r="AR992">
        <v>84</v>
      </c>
      <c r="AS992">
        <v>-4</v>
      </c>
      <c r="AT992">
        <v>-128</v>
      </c>
      <c r="BB992" t="str">
        <f t="shared" si="115"/>
        <v>1200</v>
      </c>
      <c r="BC992">
        <v>1</v>
      </c>
      <c r="BD992" t="str">
        <f t="shared" si="117"/>
        <v xml:space="preserve">N745MB  </v>
      </c>
      <c r="BE992">
        <v>1</v>
      </c>
      <c r="BG992">
        <v>0</v>
      </c>
      <c r="BH992">
        <v>0</v>
      </c>
      <c r="BI992">
        <v>0</v>
      </c>
      <c r="BL992" t="s">
        <v>130</v>
      </c>
      <c r="BM992">
        <v>1</v>
      </c>
      <c r="BN992">
        <v>0</v>
      </c>
      <c r="BO992">
        <v>0</v>
      </c>
      <c r="BP992">
        <v>0</v>
      </c>
      <c r="BT992">
        <v>0</v>
      </c>
      <c r="BU992">
        <v>0</v>
      </c>
      <c r="CE992" t="str">
        <f>"20:26:32.816"</f>
        <v>20:26:32.816</v>
      </c>
      <c r="CF992">
        <v>816016844</v>
      </c>
      <c r="CS992">
        <v>0</v>
      </c>
      <c r="CT992">
        <v>2</v>
      </c>
      <c r="CU992">
        <v>0</v>
      </c>
      <c r="CV992">
        <v>2</v>
      </c>
      <c r="CW992">
        <v>0</v>
      </c>
      <c r="CX992">
        <v>2</v>
      </c>
      <c r="CY992">
        <v>7</v>
      </c>
      <c r="CZ992" t="s">
        <v>131</v>
      </c>
      <c r="DA992">
        <v>483</v>
      </c>
      <c r="DB992">
        <v>0</v>
      </c>
      <c r="DC992" t="s">
        <v>169</v>
      </c>
      <c r="DD992" t="s">
        <v>170</v>
      </c>
      <c r="DG992">
        <v>7381412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1</v>
      </c>
      <c r="DQ992">
        <v>0</v>
      </c>
      <c r="DR992">
        <v>0</v>
      </c>
      <c r="DS992">
        <v>0</v>
      </c>
    </row>
    <row r="993" spans="1:123" x14ac:dyDescent="0.25">
      <c r="A993" t="str">
        <f>"11/29/2023 20:26:33.399"</f>
        <v>11/29/2023 20:26:33.399</v>
      </c>
      <c r="C993" t="str">
        <f t="shared" si="116"/>
        <v>FFDF53C0</v>
      </c>
      <c r="D993" t="s">
        <v>123</v>
      </c>
      <c r="E993">
        <v>14</v>
      </c>
      <c r="F993">
        <v>1014</v>
      </c>
      <c r="G993" t="s">
        <v>124</v>
      </c>
      <c r="J993" t="s">
        <v>125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>"20:26:32.813"</f>
        <v>20:26:32.813</v>
      </c>
      <c r="T993" t="str">
        <f>"20:26:32.012"</f>
        <v>20:26:32.012</v>
      </c>
      <c r="U993" t="str">
        <f t="shared" si="114"/>
        <v>AA0632</v>
      </c>
      <c r="V993">
        <v>0</v>
      </c>
      <c r="W993">
        <v>0</v>
      </c>
      <c r="X993">
        <v>2</v>
      </c>
      <c r="Y993">
        <v>0</v>
      </c>
      <c r="AA993">
        <v>0</v>
      </c>
      <c r="AB993">
        <v>9</v>
      </c>
      <c r="AC993">
        <v>3</v>
      </c>
      <c r="AD993">
        <v>0</v>
      </c>
      <c r="AE993">
        <v>10</v>
      </c>
      <c r="AF993" t="s">
        <v>126</v>
      </c>
      <c r="AG993">
        <v>0</v>
      </c>
      <c r="AH993">
        <v>0</v>
      </c>
      <c r="AI993">
        <v>2</v>
      </c>
      <c r="AJ993">
        <v>0</v>
      </c>
      <c r="AK993" t="s">
        <v>512</v>
      </c>
      <c r="AL993">
        <v>31.922878999999998</v>
      </c>
      <c r="AM993" t="s">
        <v>608</v>
      </c>
      <c r="AN993">
        <v>-100.969527</v>
      </c>
      <c r="AQ993" t="s">
        <v>129</v>
      </c>
      <c r="AR993">
        <v>84</v>
      </c>
      <c r="AS993">
        <v>-4</v>
      </c>
      <c r="AT993">
        <v>-128</v>
      </c>
      <c r="BB993" t="str">
        <f t="shared" si="115"/>
        <v>1200</v>
      </c>
      <c r="BC993">
        <v>1</v>
      </c>
      <c r="BD993" t="str">
        <f t="shared" si="117"/>
        <v xml:space="preserve">N745MB  </v>
      </c>
      <c r="BE993">
        <v>1</v>
      </c>
      <c r="BG993">
        <v>0</v>
      </c>
      <c r="BH993">
        <v>0</v>
      </c>
      <c r="BI993">
        <v>0</v>
      </c>
      <c r="BL993" t="s">
        <v>130</v>
      </c>
      <c r="BM993">
        <v>1</v>
      </c>
      <c r="BN993">
        <v>0</v>
      </c>
      <c r="BO993">
        <v>0</v>
      </c>
      <c r="BP993">
        <v>0</v>
      </c>
      <c r="BT993">
        <v>0</v>
      </c>
      <c r="BU993">
        <v>0</v>
      </c>
      <c r="CE993" t="str">
        <f>"20:26:32.816"</f>
        <v>20:26:32.816</v>
      </c>
      <c r="CF993">
        <v>816016844</v>
      </c>
      <c r="CS993">
        <v>0</v>
      </c>
      <c r="CT993">
        <v>2</v>
      </c>
      <c r="CU993">
        <v>0</v>
      </c>
      <c r="CV993">
        <v>2</v>
      </c>
      <c r="CW993">
        <v>0</v>
      </c>
      <c r="CX993">
        <v>2</v>
      </c>
      <c r="CY993">
        <v>7</v>
      </c>
      <c r="CZ993" t="s">
        <v>131</v>
      </c>
      <c r="DA993">
        <v>483</v>
      </c>
      <c r="DB993">
        <v>0</v>
      </c>
      <c r="DC993" t="s">
        <v>169</v>
      </c>
      <c r="DD993" t="s">
        <v>170</v>
      </c>
      <c r="DG993">
        <v>7381412</v>
      </c>
      <c r="DI993">
        <v>0</v>
      </c>
      <c r="DJ993">
        <v>0</v>
      </c>
      <c r="DK993">
        <v>1</v>
      </c>
      <c r="DL993">
        <v>0</v>
      </c>
      <c r="DM993">
        <v>0</v>
      </c>
      <c r="DN993">
        <v>0</v>
      </c>
      <c r="DO993">
        <v>0</v>
      </c>
      <c r="DP993">
        <v>1</v>
      </c>
      <c r="DQ993">
        <v>0</v>
      </c>
      <c r="DR993">
        <v>0</v>
      </c>
      <c r="DS993">
        <v>0</v>
      </c>
    </row>
    <row r="994" spans="1:123" x14ac:dyDescent="0.25">
      <c r="A994" t="str">
        <f>"11/29/2023 20:26:35.009"</f>
        <v>11/29/2023 20:26:35.009</v>
      </c>
      <c r="C994" t="str">
        <f t="shared" si="116"/>
        <v>FFDF53C0</v>
      </c>
      <c r="D994" t="s">
        <v>164</v>
      </c>
      <c r="E994">
        <v>24</v>
      </c>
      <c r="F994">
        <v>2024</v>
      </c>
      <c r="G994" t="s">
        <v>165</v>
      </c>
      <c r="J994" t="s">
        <v>166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 t="shared" ref="S994:T996" si="118">"20:26:34.523"</f>
        <v>20:26:34.523</v>
      </c>
      <c r="T994" t="str">
        <f t="shared" si="118"/>
        <v>20:26:34.523</v>
      </c>
      <c r="U994" t="str">
        <f t="shared" si="114"/>
        <v>AA0632</v>
      </c>
      <c r="V994">
        <v>0</v>
      </c>
      <c r="W994">
        <v>0</v>
      </c>
      <c r="X994">
        <v>2</v>
      </c>
      <c r="Y994">
        <v>0</v>
      </c>
      <c r="AA994">
        <v>0</v>
      </c>
      <c r="AB994">
        <v>9</v>
      </c>
      <c r="AC994">
        <v>3</v>
      </c>
      <c r="AD994">
        <v>0</v>
      </c>
      <c r="AE994">
        <v>10</v>
      </c>
      <c r="AF994" t="s">
        <v>126</v>
      </c>
      <c r="AG994">
        <v>0</v>
      </c>
      <c r="AH994">
        <v>0</v>
      </c>
      <c r="AI994">
        <v>2</v>
      </c>
      <c r="AJ994">
        <v>0</v>
      </c>
      <c r="AK994" t="s">
        <v>609</v>
      </c>
      <c r="AL994">
        <v>31.922771999999998</v>
      </c>
      <c r="AM994" t="s">
        <v>610</v>
      </c>
      <c r="AN994">
        <v>-100.96877600000001</v>
      </c>
      <c r="AQ994" t="s">
        <v>129</v>
      </c>
      <c r="AR994">
        <v>75</v>
      </c>
      <c r="AS994">
        <v>-15</v>
      </c>
      <c r="AT994">
        <v>64</v>
      </c>
      <c r="BB994" t="str">
        <f t="shared" si="115"/>
        <v>1200</v>
      </c>
      <c r="BC994">
        <v>1</v>
      </c>
      <c r="BD994" t="str">
        <f t="shared" si="117"/>
        <v xml:space="preserve">N745MB  </v>
      </c>
      <c r="BE994">
        <v>1</v>
      </c>
      <c r="BG994">
        <v>0</v>
      </c>
      <c r="BH994">
        <v>0</v>
      </c>
      <c r="BI994">
        <v>0</v>
      </c>
      <c r="BL994" t="s">
        <v>130</v>
      </c>
      <c r="BM994">
        <v>1</v>
      </c>
      <c r="BN994">
        <v>0</v>
      </c>
      <c r="BO994">
        <v>0</v>
      </c>
      <c r="BP994">
        <v>0</v>
      </c>
      <c r="BT994">
        <v>0</v>
      </c>
      <c r="BU994">
        <v>0</v>
      </c>
      <c r="CE994" t="str">
        <f>"20:26:34.526"</f>
        <v>20:26:34.526</v>
      </c>
      <c r="CF994">
        <v>525926085</v>
      </c>
      <c r="CS994">
        <v>0</v>
      </c>
      <c r="CT994">
        <v>2</v>
      </c>
      <c r="CU994">
        <v>0</v>
      </c>
      <c r="CV994">
        <v>2</v>
      </c>
      <c r="CW994">
        <v>0</v>
      </c>
      <c r="CX994">
        <v>4</v>
      </c>
      <c r="CY994">
        <v>7</v>
      </c>
      <c r="CZ994" t="s">
        <v>131</v>
      </c>
      <c r="DA994">
        <v>483</v>
      </c>
      <c r="DB994">
        <v>1</v>
      </c>
      <c r="DC994" t="s">
        <v>169</v>
      </c>
      <c r="DD994" t="s">
        <v>170</v>
      </c>
      <c r="DG994">
        <v>7381660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1</v>
      </c>
      <c r="DQ994">
        <v>0</v>
      </c>
      <c r="DR994">
        <v>0</v>
      </c>
      <c r="DS994">
        <v>0</v>
      </c>
    </row>
    <row r="995" spans="1:123" x14ac:dyDescent="0.25">
      <c r="A995" t="str">
        <f>"11/29/2023 20:26:35.009"</f>
        <v>11/29/2023 20:26:35.009</v>
      </c>
      <c r="C995" t="str">
        <f t="shared" si="116"/>
        <v>FFDF53C0</v>
      </c>
      <c r="D995" t="s">
        <v>123</v>
      </c>
      <c r="E995">
        <v>14</v>
      </c>
      <c r="F995">
        <v>1014</v>
      </c>
      <c r="G995" t="s">
        <v>124</v>
      </c>
      <c r="J995" t="s">
        <v>125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 t="shared" si="118"/>
        <v>20:26:34.523</v>
      </c>
      <c r="T995" t="str">
        <f t="shared" si="118"/>
        <v>20:26:34.523</v>
      </c>
      <c r="U995" t="str">
        <f t="shared" si="114"/>
        <v>AA0632</v>
      </c>
      <c r="V995">
        <v>0</v>
      </c>
      <c r="W995">
        <v>0</v>
      </c>
      <c r="X995">
        <v>2</v>
      </c>
      <c r="Y995">
        <v>0</v>
      </c>
      <c r="AA995">
        <v>0</v>
      </c>
      <c r="AB995">
        <v>9</v>
      </c>
      <c r="AC995">
        <v>3</v>
      </c>
      <c r="AD995">
        <v>0</v>
      </c>
      <c r="AE995">
        <v>10</v>
      </c>
      <c r="AF995" t="s">
        <v>126</v>
      </c>
      <c r="AG995">
        <v>0</v>
      </c>
      <c r="AH995">
        <v>0</v>
      </c>
      <c r="AI995">
        <v>2</v>
      </c>
      <c r="AJ995">
        <v>0</v>
      </c>
      <c r="AK995" t="s">
        <v>609</v>
      </c>
      <c r="AL995">
        <v>31.922771999999998</v>
      </c>
      <c r="AM995" t="s">
        <v>610</v>
      </c>
      <c r="AN995">
        <v>-100.96877600000001</v>
      </c>
      <c r="AQ995" t="s">
        <v>129</v>
      </c>
      <c r="AR995">
        <v>75</v>
      </c>
      <c r="AS995">
        <v>-15</v>
      </c>
      <c r="AT995">
        <v>64</v>
      </c>
      <c r="BB995" t="str">
        <f t="shared" si="115"/>
        <v>1200</v>
      </c>
      <c r="BC995">
        <v>1</v>
      </c>
      <c r="BD995" t="str">
        <f t="shared" si="117"/>
        <v xml:space="preserve">N745MB  </v>
      </c>
      <c r="BE995">
        <v>1</v>
      </c>
      <c r="BG995">
        <v>0</v>
      </c>
      <c r="BH995">
        <v>0</v>
      </c>
      <c r="BI995">
        <v>0</v>
      </c>
      <c r="BL995" t="s">
        <v>130</v>
      </c>
      <c r="BM995">
        <v>1</v>
      </c>
      <c r="BN995">
        <v>0</v>
      </c>
      <c r="BO995">
        <v>0</v>
      </c>
      <c r="BP995">
        <v>0</v>
      </c>
      <c r="BT995">
        <v>0</v>
      </c>
      <c r="BU995">
        <v>0</v>
      </c>
      <c r="CE995" t="str">
        <f>"20:26:34.526"</f>
        <v>20:26:34.526</v>
      </c>
      <c r="CF995">
        <v>525926085</v>
      </c>
      <c r="CS995">
        <v>0</v>
      </c>
      <c r="CT995">
        <v>2</v>
      </c>
      <c r="CU995">
        <v>0</v>
      </c>
      <c r="CV995">
        <v>2</v>
      </c>
      <c r="CW995">
        <v>0</v>
      </c>
      <c r="CX995">
        <v>4</v>
      </c>
      <c r="CY995">
        <v>7</v>
      </c>
      <c r="CZ995" t="s">
        <v>131</v>
      </c>
      <c r="DA995">
        <v>483</v>
      </c>
      <c r="DB995">
        <v>1</v>
      </c>
      <c r="DC995" t="s">
        <v>169</v>
      </c>
      <c r="DD995" t="s">
        <v>170</v>
      </c>
      <c r="DG995">
        <v>7381660</v>
      </c>
      <c r="DI995">
        <v>0</v>
      </c>
      <c r="DJ995">
        <v>0</v>
      </c>
      <c r="DK995">
        <v>1</v>
      </c>
      <c r="DL995">
        <v>0</v>
      </c>
      <c r="DM995">
        <v>0</v>
      </c>
      <c r="DN995">
        <v>0</v>
      </c>
      <c r="DO995">
        <v>0</v>
      </c>
      <c r="DP995">
        <v>1</v>
      </c>
      <c r="DQ995">
        <v>0</v>
      </c>
      <c r="DR995">
        <v>0</v>
      </c>
      <c r="DS995">
        <v>0</v>
      </c>
    </row>
    <row r="996" spans="1:123" x14ac:dyDescent="0.25">
      <c r="A996" t="str">
        <f>"11/29/2023 20:26:35.009"</f>
        <v>11/29/2023 20:26:35.009</v>
      </c>
      <c r="C996" t="str">
        <f t="shared" si="116"/>
        <v>FFDF53C0</v>
      </c>
      <c r="D996" t="s">
        <v>138</v>
      </c>
      <c r="E996">
        <v>3</v>
      </c>
      <c r="H996">
        <v>160</v>
      </c>
      <c r="I996" t="s">
        <v>124</v>
      </c>
      <c r="J996" t="s">
        <v>139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 t="shared" si="118"/>
        <v>20:26:34.523</v>
      </c>
      <c r="T996" t="str">
        <f t="shared" si="118"/>
        <v>20:26:34.523</v>
      </c>
      <c r="U996" t="str">
        <f t="shared" si="114"/>
        <v>AA0632</v>
      </c>
      <c r="V996">
        <v>0</v>
      </c>
      <c r="W996">
        <v>0</v>
      </c>
      <c r="X996">
        <v>2</v>
      </c>
      <c r="Y996">
        <v>0</v>
      </c>
      <c r="AA996">
        <v>0</v>
      </c>
      <c r="AB996">
        <v>9</v>
      </c>
      <c r="AC996">
        <v>3</v>
      </c>
      <c r="AD996">
        <v>0</v>
      </c>
      <c r="AE996">
        <v>10</v>
      </c>
      <c r="AF996" t="s">
        <v>126</v>
      </c>
      <c r="AG996">
        <v>0</v>
      </c>
      <c r="AH996">
        <v>0</v>
      </c>
      <c r="AI996">
        <v>2</v>
      </c>
      <c r="AJ996">
        <v>0</v>
      </c>
      <c r="AK996" t="s">
        <v>609</v>
      </c>
      <c r="AL996">
        <v>31.922771999999998</v>
      </c>
      <c r="AM996" t="s">
        <v>610</v>
      </c>
      <c r="AN996">
        <v>-100.96877600000001</v>
      </c>
      <c r="AQ996" t="s">
        <v>129</v>
      </c>
      <c r="AR996">
        <v>75</v>
      </c>
      <c r="AS996">
        <v>-15</v>
      </c>
      <c r="AT996">
        <v>64</v>
      </c>
      <c r="BB996" t="str">
        <f t="shared" si="115"/>
        <v>1200</v>
      </c>
      <c r="BC996">
        <v>1</v>
      </c>
      <c r="BD996" t="str">
        <f t="shared" si="117"/>
        <v xml:space="preserve">N745MB  </v>
      </c>
      <c r="BE996">
        <v>1</v>
      </c>
      <c r="BG996">
        <v>0</v>
      </c>
      <c r="BH996">
        <v>0</v>
      </c>
      <c r="BI996">
        <v>0</v>
      </c>
      <c r="BL996" t="s">
        <v>130</v>
      </c>
      <c r="BM996">
        <v>1</v>
      </c>
      <c r="BN996">
        <v>0</v>
      </c>
      <c r="BO996">
        <v>0</v>
      </c>
      <c r="BP996">
        <v>0</v>
      </c>
      <c r="BT996">
        <v>0</v>
      </c>
      <c r="BU996">
        <v>0</v>
      </c>
      <c r="CE996" t="str">
        <f>"20:26:34.526"</f>
        <v>20:26:34.526</v>
      </c>
      <c r="CF996">
        <v>525926085</v>
      </c>
      <c r="CS996">
        <v>0</v>
      </c>
      <c r="CT996">
        <v>2</v>
      </c>
      <c r="CU996">
        <v>0</v>
      </c>
      <c r="CV996">
        <v>2</v>
      </c>
      <c r="CW996">
        <v>0</v>
      </c>
      <c r="CX996">
        <v>4</v>
      </c>
      <c r="CY996">
        <v>7</v>
      </c>
      <c r="CZ996" t="s">
        <v>131</v>
      </c>
      <c r="DA996">
        <v>483</v>
      </c>
      <c r="DB996">
        <v>1</v>
      </c>
      <c r="DC996" t="s">
        <v>169</v>
      </c>
      <c r="DD996" t="s">
        <v>170</v>
      </c>
      <c r="DG996">
        <v>7381660</v>
      </c>
      <c r="DI996">
        <v>0</v>
      </c>
      <c r="DJ996">
        <v>0</v>
      </c>
      <c r="DK996">
        <v>1</v>
      </c>
      <c r="DL996">
        <v>0</v>
      </c>
      <c r="DM996">
        <v>0</v>
      </c>
      <c r="DN996">
        <v>0</v>
      </c>
      <c r="DO996">
        <v>0</v>
      </c>
      <c r="DP996">
        <v>1</v>
      </c>
      <c r="DQ996">
        <v>0</v>
      </c>
      <c r="DR996">
        <v>0</v>
      </c>
      <c r="DS996">
        <v>0</v>
      </c>
    </row>
    <row r="997" spans="1:123" x14ac:dyDescent="0.25">
      <c r="A997" t="str">
        <f>"11/29/2023 20:26:36.649"</f>
        <v>11/29/2023 20:26:36.649</v>
      </c>
      <c r="C997" t="str">
        <f t="shared" si="116"/>
        <v>FFDF53C0</v>
      </c>
      <c r="D997" t="s">
        <v>123</v>
      </c>
      <c r="E997">
        <v>1</v>
      </c>
      <c r="F997">
        <v>1001</v>
      </c>
      <c r="G997" t="s">
        <v>134</v>
      </c>
      <c r="J997" t="s">
        <v>125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>"20:26:36.328"</f>
        <v>20:26:36.328</v>
      </c>
      <c r="T997" t="str">
        <f>"20:26:35.428"</f>
        <v>20:26:35.428</v>
      </c>
      <c r="U997" t="str">
        <f t="shared" si="114"/>
        <v>AA0632</v>
      </c>
      <c r="V997">
        <v>0</v>
      </c>
      <c r="W997">
        <v>0</v>
      </c>
      <c r="X997">
        <v>2</v>
      </c>
      <c r="Y997">
        <v>0</v>
      </c>
      <c r="AA997">
        <v>0</v>
      </c>
      <c r="AB997">
        <v>9</v>
      </c>
      <c r="AC997">
        <v>3</v>
      </c>
      <c r="AD997">
        <v>0</v>
      </c>
      <c r="AE997">
        <v>10</v>
      </c>
      <c r="AF997" t="s">
        <v>126</v>
      </c>
      <c r="AG997">
        <v>0</v>
      </c>
      <c r="AH997">
        <v>0</v>
      </c>
      <c r="AI997">
        <v>2</v>
      </c>
      <c r="AJ997">
        <v>0</v>
      </c>
      <c r="AK997" t="s">
        <v>519</v>
      </c>
      <c r="AL997">
        <v>31.922599999999999</v>
      </c>
      <c r="AM997" t="s">
        <v>611</v>
      </c>
      <c r="AN997">
        <v>-100.96811099999999</v>
      </c>
      <c r="AQ997" t="s">
        <v>129</v>
      </c>
      <c r="AR997">
        <v>69</v>
      </c>
      <c r="AS997">
        <v>-22</v>
      </c>
      <c r="AT997">
        <v>128</v>
      </c>
      <c r="BB997" t="str">
        <f t="shared" si="115"/>
        <v>1200</v>
      </c>
      <c r="BC997">
        <v>1</v>
      </c>
      <c r="BD997" t="str">
        <f t="shared" si="117"/>
        <v xml:space="preserve">N745MB  </v>
      </c>
      <c r="BE997">
        <v>1</v>
      </c>
      <c r="BG997">
        <v>0</v>
      </c>
      <c r="BH997">
        <v>0</v>
      </c>
      <c r="BI997">
        <v>0</v>
      </c>
      <c r="BL997" t="s">
        <v>130</v>
      </c>
      <c r="BM997">
        <v>1</v>
      </c>
      <c r="BN997">
        <v>0</v>
      </c>
      <c r="BO997">
        <v>0</v>
      </c>
      <c r="BP997">
        <v>0</v>
      </c>
      <c r="BT997">
        <v>0</v>
      </c>
      <c r="BU997">
        <v>0</v>
      </c>
      <c r="CE997" t="str">
        <f>"20:26:36.336"</f>
        <v>20:26:36.336</v>
      </c>
      <c r="CF997">
        <v>335781098</v>
      </c>
      <c r="CS997">
        <v>0</v>
      </c>
      <c r="CT997">
        <v>2</v>
      </c>
      <c r="CU997">
        <v>0</v>
      </c>
      <c r="CV997">
        <v>2</v>
      </c>
      <c r="CW997">
        <v>0</v>
      </c>
      <c r="CX997">
        <v>4</v>
      </c>
      <c r="CY997">
        <v>7</v>
      </c>
      <c r="CZ997" t="s">
        <v>131</v>
      </c>
      <c r="DA997">
        <v>116</v>
      </c>
      <c r="DB997">
        <v>0</v>
      </c>
      <c r="DC997" t="s">
        <v>132</v>
      </c>
      <c r="DD997" t="s">
        <v>133</v>
      </c>
      <c r="DG997">
        <v>14703808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1</v>
      </c>
      <c r="DQ997">
        <v>0</v>
      </c>
      <c r="DR997">
        <v>0</v>
      </c>
      <c r="DS997">
        <v>0</v>
      </c>
    </row>
    <row r="998" spans="1:123" x14ac:dyDescent="0.25">
      <c r="A998" t="str">
        <f>"11/29/2023 20:26:36.649"</f>
        <v>11/29/2023 20:26:36.649</v>
      </c>
      <c r="C998" t="str">
        <f t="shared" si="116"/>
        <v>FFDF53C0</v>
      </c>
      <c r="D998" t="s">
        <v>138</v>
      </c>
      <c r="E998">
        <v>3</v>
      </c>
      <c r="H998">
        <v>160</v>
      </c>
      <c r="I998" t="s">
        <v>124</v>
      </c>
      <c r="J998" t="s">
        <v>139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"20:26:36.328"</f>
        <v>20:26:36.328</v>
      </c>
      <c r="T998" t="str">
        <f>"20:26:35.428"</f>
        <v>20:26:35.428</v>
      </c>
      <c r="U998" t="str">
        <f t="shared" si="114"/>
        <v>AA0632</v>
      </c>
      <c r="V998">
        <v>0</v>
      </c>
      <c r="W998">
        <v>0</v>
      </c>
      <c r="X998">
        <v>2</v>
      </c>
      <c r="Y998">
        <v>0</v>
      </c>
      <c r="AA998">
        <v>0</v>
      </c>
      <c r="AB998">
        <v>9</v>
      </c>
      <c r="AC998">
        <v>3</v>
      </c>
      <c r="AD998">
        <v>0</v>
      </c>
      <c r="AE998">
        <v>10</v>
      </c>
      <c r="AF998" t="s">
        <v>126</v>
      </c>
      <c r="AG998">
        <v>0</v>
      </c>
      <c r="AH998">
        <v>0</v>
      </c>
      <c r="AI998">
        <v>2</v>
      </c>
      <c r="AJ998">
        <v>0</v>
      </c>
      <c r="AK998" t="s">
        <v>519</v>
      </c>
      <c r="AL998">
        <v>31.922599999999999</v>
      </c>
      <c r="AM998" t="s">
        <v>611</v>
      </c>
      <c r="AN998">
        <v>-100.96811099999999</v>
      </c>
      <c r="AQ998" t="s">
        <v>129</v>
      </c>
      <c r="AR998">
        <v>69</v>
      </c>
      <c r="AS998">
        <v>-22</v>
      </c>
      <c r="AT998">
        <v>128</v>
      </c>
      <c r="BB998" t="str">
        <f t="shared" si="115"/>
        <v>1200</v>
      </c>
      <c r="BC998">
        <v>1</v>
      </c>
      <c r="BD998" t="str">
        <f t="shared" si="117"/>
        <v xml:space="preserve">N745MB  </v>
      </c>
      <c r="BE998">
        <v>1</v>
      </c>
      <c r="BG998">
        <v>0</v>
      </c>
      <c r="BH998">
        <v>0</v>
      </c>
      <c r="BI998">
        <v>0</v>
      </c>
      <c r="BL998" t="s">
        <v>130</v>
      </c>
      <c r="BM998">
        <v>1</v>
      </c>
      <c r="BN998">
        <v>0</v>
      </c>
      <c r="BO998">
        <v>0</v>
      </c>
      <c r="BP998">
        <v>0</v>
      </c>
      <c r="BT998">
        <v>0</v>
      </c>
      <c r="BU998">
        <v>0</v>
      </c>
      <c r="CE998" t="str">
        <f>"20:26:36.336"</f>
        <v>20:26:36.336</v>
      </c>
      <c r="CF998">
        <v>335781098</v>
      </c>
      <c r="CS998">
        <v>0</v>
      </c>
      <c r="CT998">
        <v>2</v>
      </c>
      <c r="CU998">
        <v>0</v>
      </c>
      <c r="CV998">
        <v>2</v>
      </c>
      <c r="CW998">
        <v>0</v>
      </c>
      <c r="CX998">
        <v>4</v>
      </c>
      <c r="CY998">
        <v>7</v>
      </c>
      <c r="CZ998" t="s">
        <v>131</v>
      </c>
      <c r="DA998">
        <v>116</v>
      </c>
      <c r="DB998">
        <v>0</v>
      </c>
      <c r="DC998" t="s">
        <v>132</v>
      </c>
      <c r="DD998" t="s">
        <v>133</v>
      </c>
      <c r="DG998">
        <v>14703808</v>
      </c>
      <c r="DI998">
        <v>0</v>
      </c>
      <c r="DJ998">
        <v>0</v>
      </c>
      <c r="DK998">
        <v>1</v>
      </c>
      <c r="DL998">
        <v>0</v>
      </c>
      <c r="DM998">
        <v>0</v>
      </c>
      <c r="DN998">
        <v>0</v>
      </c>
      <c r="DO998">
        <v>0</v>
      </c>
      <c r="DP998">
        <v>1</v>
      </c>
      <c r="DQ998">
        <v>0</v>
      </c>
      <c r="DR998">
        <v>0</v>
      </c>
      <c r="DS998">
        <v>0</v>
      </c>
    </row>
    <row r="999" spans="1:123" x14ac:dyDescent="0.25">
      <c r="A999" t="str">
        <f>"11/29/2023 20:26:36.649"</f>
        <v>11/29/2023 20:26:36.649</v>
      </c>
      <c r="C999" t="str">
        <f t="shared" si="116"/>
        <v>FFDF53C0</v>
      </c>
      <c r="D999" t="s">
        <v>135</v>
      </c>
      <c r="E999">
        <v>31</v>
      </c>
      <c r="H999">
        <v>285</v>
      </c>
      <c r="I999" t="s">
        <v>136</v>
      </c>
      <c r="J999" t="s">
        <v>137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"20:26:36.328"</f>
        <v>20:26:36.328</v>
      </c>
      <c r="T999" t="str">
        <f>"20:26:35.428"</f>
        <v>20:26:35.428</v>
      </c>
      <c r="U999" t="str">
        <f t="shared" si="114"/>
        <v>AA0632</v>
      </c>
      <c r="V999">
        <v>0</v>
      </c>
      <c r="W999">
        <v>0</v>
      </c>
      <c r="X999">
        <v>2</v>
      </c>
      <c r="Y999">
        <v>0</v>
      </c>
      <c r="AA999">
        <v>0</v>
      </c>
      <c r="AB999">
        <v>9</v>
      </c>
      <c r="AC999">
        <v>3</v>
      </c>
      <c r="AD999">
        <v>0</v>
      </c>
      <c r="AE999">
        <v>10</v>
      </c>
      <c r="AF999" t="s">
        <v>126</v>
      </c>
      <c r="AG999">
        <v>0</v>
      </c>
      <c r="AH999">
        <v>0</v>
      </c>
      <c r="AI999">
        <v>2</v>
      </c>
      <c r="AJ999">
        <v>0</v>
      </c>
      <c r="AK999" t="s">
        <v>519</v>
      </c>
      <c r="AL999">
        <v>31.922599999999999</v>
      </c>
      <c r="AM999" t="s">
        <v>611</v>
      </c>
      <c r="AN999">
        <v>-100.96811099999999</v>
      </c>
      <c r="AQ999" t="s">
        <v>129</v>
      </c>
      <c r="AR999">
        <v>69</v>
      </c>
      <c r="AS999">
        <v>-22</v>
      </c>
      <c r="AT999">
        <v>128</v>
      </c>
      <c r="BB999" t="str">
        <f t="shared" si="115"/>
        <v>1200</v>
      </c>
      <c r="BC999">
        <v>1</v>
      </c>
      <c r="BD999" t="str">
        <f t="shared" si="117"/>
        <v xml:space="preserve">N745MB  </v>
      </c>
      <c r="BE999">
        <v>1</v>
      </c>
      <c r="BG999">
        <v>0</v>
      </c>
      <c r="BH999">
        <v>0</v>
      </c>
      <c r="BI999">
        <v>0</v>
      </c>
      <c r="BL999" t="s">
        <v>130</v>
      </c>
      <c r="BM999">
        <v>1</v>
      </c>
      <c r="BN999">
        <v>0</v>
      </c>
      <c r="BO999">
        <v>0</v>
      </c>
      <c r="BP999">
        <v>0</v>
      </c>
      <c r="BT999">
        <v>0</v>
      </c>
      <c r="BU999">
        <v>0</v>
      </c>
      <c r="CE999" t="str">
        <f>"20:26:36.336"</f>
        <v>20:26:36.336</v>
      </c>
      <c r="CF999">
        <v>335781098</v>
      </c>
      <c r="CS999">
        <v>0</v>
      </c>
      <c r="CT999">
        <v>2</v>
      </c>
      <c r="CU999">
        <v>0</v>
      </c>
      <c r="CV999">
        <v>2</v>
      </c>
      <c r="CW999">
        <v>0</v>
      </c>
      <c r="CX999">
        <v>4</v>
      </c>
      <c r="CY999">
        <v>7</v>
      </c>
      <c r="CZ999" t="s">
        <v>131</v>
      </c>
      <c r="DA999">
        <v>116</v>
      </c>
      <c r="DB999">
        <v>0</v>
      </c>
      <c r="DC999" t="s">
        <v>132</v>
      </c>
      <c r="DD999" t="s">
        <v>133</v>
      </c>
      <c r="DG999">
        <v>14703808</v>
      </c>
      <c r="DI999">
        <v>0</v>
      </c>
      <c r="DJ999">
        <v>0</v>
      </c>
      <c r="DK999">
        <v>1</v>
      </c>
      <c r="DL999">
        <v>0</v>
      </c>
      <c r="DM999">
        <v>0</v>
      </c>
      <c r="DN999">
        <v>0</v>
      </c>
      <c r="DO999">
        <v>0</v>
      </c>
      <c r="DP999">
        <v>1</v>
      </c>
      <c r="DQ999">
        <v>0</v>
      </c>
      <c r="DR999">
        <v>0</v>
      </c>
      <c r="DS999">
        <v>0</v>
      </c>
    </row>
    <row r="1000" spans="1:123" x14ac:dyDescent="0.25">
      <c r="A1000" t="str">
        <f>"11/29/2023 20:26:36.680"</f>
        <v>11/29/2023 20:26:36.680</v>
      </c>
      <c r="C1000" t="str">
        <f t="shared" si="116"/>
        <v>FFDF53C0</v>
      </c>
      <c r="D1000" t="s">
        <v>123</v>
      </c>
      <c r="E1000">
        <v>14</v>
      </c>
      <c r="F1000">
        <v>1014</v>
      </c>
      <c r="G1000" t="s">
        <v>124</v>
      </c>
      <c r="J1000" t="s">
        <v>125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"20:26:36.328"</f>
        <v>20:26:36.328</v>
      </c>
      <c r="T1000" t="str">
        <f>"20:26:35.428"</f>
        <v>20:26:35.428</v>
      </c>
      <c r="U1000" t="str">
        <f t="shared" si="114"/>
        <v>AA0632</v>
      </c>
      <c r="V1000">
        <v>0</v>
      </c>
      <c r="W1000">
        <v>0</v>
      </c>
      <c r="X1000">
        <v>2</v>
      </c>
      <c r="Y1000">
        <v>0</v>
      </c>
      <c r="AA1000">
        <v>0</v>
      </c>
      <c r="AB1000">
        <v>9</v>
      </c>
      <c r="AC1000">
        <v>3</v>
      </c>
      <c r="AD1000">
        <v>0</v>
      </c>
      <c r="AE1000">
        <v>10</v>
      </c>
      <c r="AF1000" t="s">
        <v>126</v>
      </c>
      <c r="AG1000">
        <v>0</v>
      </c>
      <c r="AH1000">
        <v>0</v>
      </c>
      <c r="AI1000">
        <v>2</v>
      </c>
      <c r="AJ1000">
        <v>0</v>
      </c>
      <c r="AK1000" t="s">
        <v>519</v>
      </c>
      <c r="AL1000">
        <v>31.922599999999999</v>
      </c>
      <c r="AM1000" t="s">
        <v>611</v>
      </c>
      <c r="AN1000">
        <v>-100.96811099999999</v>
      </c>
      <c r="AQ1000" t="s">
        <v>129</v>
      </c>
      <c r="AR1000">
        <v>69</v>
      </c>
      <c r="AS1000">
        <v>-22</v>
      </c>
      <c r="AT1000">
        <v>128</v>
      </c>
      <c r="BB1000" t="str">
        <f t="shared" si="115"/>
        <v>1200</v>
      </c>
      <c r="BC1000">
        <v>1</v>
      </c>
      <c r="BD1000" t="str">
        <f t="shared" si="117"/>
        <v xml:space="preserve">N745MB  </v>
      </c>
      <c r="BE1000">
        <v>1</v>
      </c>
      <c r="BG1000">
        <v>0</v>
      </c>
      <c r="BH1000">
        <v>0</v>
      </c>
      <c r="BI1000">
        <v>0</v>
      </c>
      <c r="BL1000" t="s">
        <v>130</v>
      </c>
      <c r="BM1000">
        <v>1</v>
      </c>
      <c r="BN1000">
        <v>0</v>
      </c>
      <c r="BO1000">
        <v>0</v>
      </c>
      <c r="BP1000">
        <v>0</v>
      </c>
      <c r="BT1000">
        <v>0</v>
      </c>
      <c r="BU1000">
        <v>0</v>
      </c>
      <c r="CE1000" t="str">
        <f>"20:26:36.336"</f>
        <v>20:26:36.336</v>
      </c>
      <c r="CF1000">
        <v>335781098</v>
      </c>
      <c r="CS1000">
        <v>0</v>
      </c>
      <c r="CT1000">
        <v>2</v>
      </c>
      <c r="CU1000">
        <v>0</v>
      </c>
      <c r="CV1000">
        <v>2</v>
      </c>
      <c r="CW1000">
        <v>0</v>
      </c>
      <c r="CX1000">
        <v>4</v>
      </c>
      <c r="CY1000">
        <v>7</v>
      </c>
      <c r="CZ1000" t="s">
        <v>131</v>
      </c>
      <c r="DA1000">
        <v>116</v>
      </c>
      <c r="DB1000">
        <v>0</v>
      </c>
      <c r="DC1000" t="s">
        <v>132</v>
      </c>
      <c r="DD1000" t="s">
        <v>133</v>
      </c>
      <c r="DG1000">
        <v>14703808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1</v>
      </c>
      <c r="DQ1000">
        <v>0</v>
      </c>
      <c r="DR1000">
        <v>0</v>
      </c>
      <c r="DS1000">
        <v>0</v>
      </c>
    </row>
    <row r="1001" spans="1:123" x14ac:dyDescent="0.25">
      <c r="A1001" t="str">
        <f>"11/29/2023 20:26:38.462"</f>
        <v>11/29/2023 20:26:38.462</v>
      </c>
      <c r="C1001" t="str">
        <f t="shared" si="116"/>
        <v>FFDF53C0</v>
      </c>
      <c r="D1001" t="s">
        <v>123</v>
      </c>
      <c r="E1001">
        <v>14</v>
      </c>
      <c r="F1001">
        <v>1014</v>
      </c>
      <c r="G1001" t="s">
        <v>124</v>
      </c>
      <c r="J1001" t="s">
        <v>125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"20:26:37.852"</f>
        <v>20:26:37.852</v>
      </c>
      <c r="T1001" t="str">
        <f>"20:26:36.552"</f>
        <v>20:26:36.552</v>
      </c>
      <c r="U1001" t="str">
        <f t="shared" si="114"/>
        <v>AA0632</v>
      </c>
      <c r="V1001">
        <v>0</v>
      </c>
      <c r="W1001">
        <v>0</v>
      </c>
      <c r="X1001">
        <v>2</v>
      </c>
      <c r="Y1001">
        <v>0</v>
      </c>
      <c r="AA1001">
        <v>0</v>
      </c>
      <c r="AB1001">
        <v>9</v>
      </c>
      <c r="AC1001">
        <v>3</v>
      </c>
      <c r="AD1001">
        <v>0</v>
      </c>
      <c r="AE1001">
        <v>10</v>
      </c>
      <c r="AF1001" t="s">
        <v>126</v>
      </c>
      <c r="AG1001">
        <v>0</v>
      </c>
      <c r="AH1001">
        <v>0</v>
      </c>
      <c r="AI1001">
        <v>2</v>
      </c>
      <c r="AJ1001">
        <v>0</v>
      </c>
      <c r="AK1001" t="s">
        <v>550</v>
      </c>
      <c r="AL1001">
        <v>31.922343000000001</v>
      </c>
      <c r="AM1001" t="s">
        <v>612</v>
      </c>
      <c r="AN1001">
        <v>-100.967703</v>
      </c>
      <c r="AQ1001" t="s">
        <v>129</v>
      </c>
      <c r="AR1001">
        <v>62</v>
      </c>
      <c r="AS1001">
        <v>-29</v>
      </c>
      <c r="AT1001">
        <v>128</v>
      </c>
      <c r="BB1001" t="str">
        <f t="shared" si="115"/>
        <v>1200</v>
      </c>
      <c r="BC1001">
        <v>1</v>
      </c>
      <c r="BD1001" t="str">
        <f t="shared" si="117"/>
        <v xml:space="preserve">N745MB  </v>
      </c>
      <c r="BE1001">
        <v>1</v>
      </c>
      <c r="BG1001">
        <v>0</v>
      </c>
      <c r="BH1001">
        <v>0</v>
      </c>
      <c r="BI1001">
        <v>0</v>
      </c>
      <c r="BL1001" t="s">
        <v>130</v>
      </c>
      <c r="BM1001">
        <v>1</v>
      </c>
      <c r="BN1001">
        <v>0</v>
      </c>
      <c r="BO1001">
        <v>0</v>
      </c>
      <c r="BP1001">
        <v>0</v>
      </c>
      <c r="BT1001">
        <v>0</v>
      </c>
      <c r="BU1001">
        <v>0</v>
      </c>
      <c r="CE1001" t="str">
        <f>"20:26:37.854"</f>
        <v>20:26:37.854</v>
      </c>
      <c r="CF1001">
        <v>853677171</v>
      </c>
      <c r="CS1001">
        <v>0</v>
      </c>
      <c r="CT1001">
        <v>2</v>
      </c>
      <c r="CU1001">
        <v>0</v>
      </c>
      <c r="CV1001">
        <v>2</v>
      </c>
      <c r="CW1001">
        <v>0</v>
      </c>
      <c r="CX1001">
        <v>5</v>
      </c>
      <c r="CY1001">
        <v>7</v>
      </c>
      <c r="CZ1001" t="s">
        <v>131</v>
      </c>
      <c r="DA1001">
        <v>116</v>
      </c>
      <c r="DB1001">
        <v>0</v>
      </c>
      <c r="DC1001" t="s">
        <v>132</v>
      </c>
      <c r="DD1001" t="s">
        <v>133</v>
      </c>
      <c r="DG1001">
        <v>14704996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1</v>
      </c>
      <c r="DQ1001">
        <v>0</v>
      </c>
      <c r="DR1001">
        <v>0</v>
      </c>
      <c r="DS1001">
        <v>0</v>
      </c>
    </row>
    <row r="1002" spans="1:123" x14ac:dyDescent="0.25">
      <c r="A1002" t="str">
        <f>"11/29/2023 20:26:38.524"</f>
        <v>11/29/2023 20:26:38.524</v>
      </c>
      <c r="C1002" t="str">
        <f t="shared" si="116"/>
        <v>FFDF53C0</v>
      </c>
      <c r="D1002" t="s">
        <v>123</v>
      </c>
      <c r="E1002">
        <v>1</v>
      </c>
      <c r="F1002">
        <v>1001</v>
      </c>
      <c r="G1002" t="s">
        <v>134</v>
      </c>
      <c r="J1002" t="s">
        <v>125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"20:26:37.852"</f>
        <v>20:26:37.852</v>
      </c>
      <c r="T1002" t="str">
        <f>"20:26:36.552"</f>
        <v>20:26:36.552</v>
      </c>
      <c r="U1002" t="str">
        <f t="shared" si="114"/>
        <v>AA0632</v>
      </c>
      <c r="V1002">
        <v>0</v>
      </c>
      <c r="W1002">
        <v>0</v>
      </c>
      <c r="X1002">
        <v>2</v>
      </c>
      <c r="Y1002">
        <v>0</v>
      </c>
      <c r="AA1002">
        <v>0</v>
      </c>
      <c r="AB1002">
        <v>9</v>
      </c>
      <c r="AC1002">
        <v>3</v>
      </c>
      <c r="AD1002">
        <v>0</v>
      </c>
      <c r="AE1002">
        <v>10</v>
      </c>
      <c r="AF1002" t="s">
        <v>126</v>
      </c>
      <c r="AG1002">
        <v>0</v>
      </c>
      <c r="AH1002">
        <v>0</v>
      </c>
      <c r="AI1002">
        <v>2</v>
      </c>
      <c r="AJ1002">
        <v>0</v>
      </c>
      <c r="AK1002" t="s">
        <v>550</v>
      </c>
      <c r="AL1002">
        <v>31.922343000000001</v>
      </c>
      <c r="AM1002" t="s">
        <v>612</v>
      </c>
      <c r="AN1002">
        <v>-100.967703</v>
      </c>
      <c r="AQ1002" t="s">
        <v>129</v>
      </c>
      <c r="AR1002">
        <v>62</v>
      </c>
      <c r="AS1002">
        <v>-29</v>
      </c>
      <c r="AT1002">
        <v>128</v>
      </c>
      <c r="BB1002" t="str">
        <f t="shared" si="115"/>
        <v>1200</v>
      </c>
      <c r="BC1002">
        <v>1</v>
      </c>
      <c r="BD1002" t="str">
        <f t="shared" si="117"/>
        <v xml:space="preserve">N745MB  </v>
      </c>
      <c r="BE1002">
        <v>1</v>
      </c>
      <c r="BG1002">
        <v>0</v>
      </c>
      <c r="BH1002">
        <v>0</v>
      </c>
      <c r="BI1002">
        <v>0</v>
      </c>
      <c r="BL1002" t="s">
        <v>130</v>
      </c>
      <c r="BM1002">
        <v>1</v>
      </c>
      <c r="BN1002">
        <v>0</v>
      </c>
      <c r="BO1002">
        <v>0</v>
      </c>
      <c r="BP1002">
        <v>0</v>
      </c>
      <c r="BT1002">
        <v>0</v>
      </c>
      <c r="BU1002">
        <v>0</v>
      </c>
      <c r="CE1002" t="str">
        <f>"20:26:37.854"</f>
        <v>20:26:37.854</v>
      </c>
      <c r="CF1002">
        <v>853677171</v>
      </c>
      <c r="CS1002">
        <v>0</v>
      </c>
      <c r="CT1002">
        <v>2</v>
      </c>
      <c r="CU1002">
        <v>0</v>
      </c>
      <c r="CV1002">
        <v>2</v>
      </c>
      <c r="CW1002">
        <v>0</v>
      </c>
      <c r="CX1002">
        <v>5</v>
      </c>
      <c r="CY1002">
        <v>7</v>
      </c>
      <c r="CZ1002" t="s">
        <v>131</v>
      </c>
      <c r="DA1002">
        <v>116</v>
      </c>
      <c r="DB1002">
        <v>0</v>
      </c>
      <c r="DC1002" t="s">
        <v>132</v>
      </c>
      <c r="DD1002" t="s">
        <v>133</v>
      </c>
      <c r="DG1002">
        <v>14704996</v>
      </c>
      <c r="DI1002">
        <v>0</v>
      </c>
      <c r="DJ1002">
        <v>0</v>
      </c>
      <c r="DK1002">
        <v>1</v>
      </c>
      <c r="DL1002">
        <v>0</v>
      </c>
      <c r="DM1002">
        <v>0</v>
      </c>
      <c r="DN1002">
        <v>0</v>
      </c>
      <c r="DO1002">
        <v>0</v>
      </c>
      <c r="DP1002">
        <v>1</v>
      </c>
      <c r="DQ1002">
        <v>0</v>
      </c>
      <c r="DR1002">
        <v>0</v>
      </c>
      <c r="DS1002">
        <v>0</v>
      </c>
    </row>
    <row r="1003" spans="1:123" x14ac:dyDescent="0.25">
      <c r="A1003" t="str">
        <f>"11/29/2023 20:26:38.524"</f>
        <v>11/29/2023 20:26:38.524</v>
      </c>
      <c r="C1003" t="str">
        <f t="shared" si="116"/>
        <v>FFDF53C0</v>
      </c>
      <c r="D1003" t="s">
        <v>138</v>
      </c>
      <c r="E1003">
        <v>3</v>
      </c>
      <c r="H1003">
        <v>160</v>
      </c>
      <c r="I1003" t="s">
        <v>124</v>
      </c>
      <c r="J1003" t="s">
        <v>139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"20:26:37.852"</f>
        <v>20:26:37.852</v>
      </c>
      <c r="T1003" t="str">
        <f>"20:26:36.552"</f>
        <v>20:26:36.552</v>
      </c>
      <c r="U1003" t="str">
        <f t="shared" si="114"/>
        <v>AA0632</v>
      </c>
      <c r="V1003">
        <v>0</v>
      </c>
      <c r="W1003">
        <v>0</v>
      </c>
      <c r="X1003">
        <v>2</v>
      </c>
      <c r="Y1003">
        <v>0</v>
      </c>
      <c r="AA1003">
        <v>0</v>
      </c>
      <c r="AB1003">
        <v>9</v>
      </c>
      <c r="AC1003">
        <v>3</v>
      </c>
      <c r="AD1003">
        <v>0</v>
      </c>
      <c r="AE1003">
        <v>10</v>
      </c>
      <c r="AF1003" t="s">
        <v>126</v>
      </c>
      <c r="AG1003">
        <v>0</v>
      </c>
      <c r="AH1003">
        <v>0</v>
      </c>
      <c r="AI1003">
        <v>2</v>
      </c>
      <c r="AJ1003">
        <v>0</v>
      </c>
      <c r="AK1003" t="s">
        <v>550</v>
      </c>
      <c r="AL1003">
        <v>31.922343000000001</v>
      </c>
      <c r="AM1003" t="s">
        <v>612</v>
      </c>
      <c r="AN1003">
        <v>-100.967703</v>
      </c>
      <c r="AQ1003" t="s">
        <v>129</v>
      </c>
      <c r="AR1003">
        <v>62</v>
      </c>
      <c r="AS1003">
        <v>-29</v>
      </c>
      <c r="AT1003">
        <v>128</v>
      </c>
      <c r="BB1003" t="str">
        <f t="shared" si="115"/>
        <v>1200</v>
      </c>
      <c r="BC1003">
        <v>1</v>
      </c>
      <c r="BD1003" t="str">
        <f t="shared" si="117"/>
        <v xml:space="preserve">N745MB  </v>
      </c>
      <c r="BE1003">
        <v>1</v>
      </c>
      <c r="BG1003">
        <v>0</v>
      </c>
      <c r="BH1003">
        <v>0</v>
      </c>
      <c r="BI1003">
        <v>0</v>
      </c>
      <c r="BL1003" t="s">
        <v>130</v>
      </c>
      <c r="BM1003">
        <v>1</v>
      </c>
      <c r="BN1003">
        <v>0</v>
      </c>
      <c r="BO1003">
        <v>0</v>
      </c>
      <c r="BP1003">
        <v>0</v>
      </c>
      <c r="BT1003">
        <v>0</v>
      </c>
      <c r="BU1003">
        <v>0</v>
      </c>
      <c r="CE1003" t="str">
        <f>"20:26:37.854"</f>
        <v>20:26:37.854</v>
      </c>
      <c r="CF1003">
        <v>853677171</v>
      </c>
      <c r="CS1003">
        <v>0</v>
      </c>
      <c r="CT1003">
        <v>2</v>
      </c>
      <c r="CU1003">
        <v>0</v>
      </c>
      <c r="CV1003">
        <v>2</v>
      </c>
      <c r="CW1003">
        <v>0</v>
      </c>
      <c r="CX1003">
        <v>5</v>
      </c>
      <c r="CY1003">
        <v>7</v>
      </c>
      <c r="CZ1003" t="s">
        <v>131</v>
      </c>
      <c r="DA1003">
        <v>116</v>
      </c>
      <c r="DB1003">
        <v>0</v>
      </c>
      <c r="DC1003" t="s">
        <v>132</v>
      </c>
      <c r="DD1003" t="s">
        <v>133</v>
      </c>
      <c r="DG1003">
        <v>14704996</v>
      </c>
      <c r="DI1003">
        <v>0</v>
      </c>
      <c r="DJ1003">
        <v>0</v>
      </c>
      <c r="DK1003">
        <v>1</v>
      </c>
      <c r="DL1003">
        <v>0</v>
      </c>
      <c r="DM1003">
        <v>0</v>
      </c>
      <c r="DN1003">
        <v>0</v>
      </c>
      <c r="DO1003">
        <v>0</v>
      </c>
      <c r="DP1003">
        <v>1</v>
      </c>
      <c r="DQ1003">
        <v>0</v>
      </c>
      <c r="DR1003">
        <v>0</v>
      </c>
      <c r="DS1003">
        <v>0</v>
      </c>
    </row>
    <row r="1004" spans="1:123" x14ac:dyDescent="0.25">
      <c r="A1004" t="str">
        <f>"11/29/2023 20:26:39.790"</f>
        <v>11/29/2023 20:26:39.790</v>
      </c>
      <c r="C1004" t="str">
        <f t="shared" si="116"/>
        <v>FFDF53C0</v>
      </c>
      <c r="D1004" t="s">
        <v>138</v>
      </c>
      <c r="E1004">
        <v>3</v>
      </c>
      <c r="H1004">
        <v>160</v>
      </c>
      <c r="I1004" t="s">
        <v>124</v>
      </c>
      <c r="J1004" t="s">
        <v>139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"20:26:39.398"</f>
        <v>20:26:39.398</v>
      </c>
      <c r="T1004" t="str">
        <f>"20:26:38.998"</f>
        <v>20:26:38.998</v>
      </c>
      <c r="U1004" t="str">
        <f t="shared" si="114"/>
        <v>AA0632</v>
      </c>
      <c r="V1004">
        <v>0</v>
      </c>
      <c r="W1004">
        <v>0</v>
      </c>
      <c r="X1004">
        <v>2</v>
      </c>
      <c r="Y1004">
        <v>0</v>
      </c>
      <c r="AA1004">
        <v>0</v>
      </c>
      <c r="AB1004">
        <v>9</v>
      </c>
      <c r="AC1004">
        <v>3</v>
      </c>
      <c r="AD1004">
        <v>0</v>
      </c>
      <c r="AE1004">
        <v>10</v>
      </c>
      <c r="AF1004" t="s">
        <v>126</v>
      </c>
      <c r="AG1004">
        <v>0</v>
      </c>
      <c r="AH1004">
        <v>0</v>
      </c>
      <c r="AI1004">
        <v>2</v>
      </c>
      <c r="AJ1004">
        <v>0</v>
      </c>
      <c r="AK1004" t="s">
        <v>613</v>
      </c>
      <c r="AL1004">
        <v>31.922021000000001</v>
      </c>
      <c r="AM1004" t="s">
        <v>614</v>
      </c>
      <c r="AN1004">
        <v>-100.96731699999999</v>
      </c>
      <c r="AQ1004" t="s">
        <v>129</v>
      </c>
      <c r="AR1004">
        <v>42</v>
      </c>
      <c r="AS1004">
        <v>-44</v>
      </c>
      <c r="AT1004">
        <v>0</v>
      </c>
      <c r="BB1004" t="str">
        <f t="shared" si="115"/>
        <v>1200</v>
      </c>
      <c r="BC1004">
        <v>1</v>
      </c>
      <c r="BD1004" t="str">
        <f t="shared" si="117"/>
        <v xml:space="preserve">N745MB  </v>
      </c>
      <c r="BE1004">
        <v>1</v>
      </c>
      <c r="BG1004">
        <v>0</v>
      </c>
      <c r="BH1004">
        <v>0</v>
      </c>
      <c r="BI1004">
        <v>0</v>
      </c>
      <c r="BL1004" t="s">
        <v>130</v>
      </c>
      <c r="BM1004">
        <v>1</v>
      </c>
      <c r="BN1004">
        <v>0</v>
      </c>
      <c r="BO1004">
        <v>0</v>
      </c>
      <c r="BP1004">
        <v>0</v>
      </c>
      <c r="BT1004">
        <v>0</v>
      </c>
      <c r="BU1004">
        <v>0</v>
      </c>
      <c r="CE1004" t="str">
        <f>"20:26:39.406"</f>
        <v>20:26:39.406</v>
      </c>
      <c r="CF1004">
        <v>405573569</v>
      </c>
      <c r="CS1004">
        <v>0</v>
      </c>
      <c r="CT1004">
        <v>2</v>
      </c>
      <c r="CU1004">
        <v>0</v>
      </c>
      <c r="CV1004">
        <v>2</v>
      </c>
      <c r="CW1004">
        <v>0</v>
      </c>
      <c r="CX1004">
        <v>3</v>
      </c>
      <c r="CY1004">
        <v>7</v>
      </c>
      <c r="CZ1004" t="s">
        <v>131</v>
      </c>
      <c r="DA1004">
        <v>116</v>
      </c>
      <c r="DB1004">
        <v>0</v>
      </c>
      <c r="DC1004" t="s">
        <v>132</v>
      </c>
      <c r="DD1004" t="s">
        <v>133</v>
      </c>
      <c r="DG1004">
        <v>14706323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1</v>
      </c>
      <c r="DQ1004">
        <v>0</v>
      </c>
      <c r="DR1004">
        <v>0</v>
      </c>
      <c r="DS1004">
        <v>0</v>
      </c>
    </row>
    <row r="1005" spans="1:123" x14ac:dyDescent="0.25">
      <c r="A1005" t="str">
        <f>"11/29/2023 20:26:39.790"</f>
        <v>11/29/2023 20:26:39.790</v>
      </c>
      <c r="C1005" t="str">
        <f t="shared" si="116"/>
        <v>FFDF53C0</v>
      </c>
      <c r="D1005" t="s">
        <v>123</v>
      </c>
      <c r="E1005">
        <v>1</v>
      </c>
      <c r="F1005">
        <v>1001</v>
      </c>
      <c r="G1005" t="s">
        <v>134</v>
      </c>
      <c r="J1005" t="s">
        <v>125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>"20:26:39.398"</f>
        <v>20:26:39.398</v>
      </c>
      <c r="T1005" t="str">
        <f>"20:26:38.998"</f>
        <v>20:26:38.998</v>
      </c>
      <c r="U1005" t="str">
        <f t="shared" si="114"/>
        <v>AA0632</v>
      </c>
      <c r="V1005">
        <v>0</v>
      </c>
      <c r="W1005">
        <v>0</v>
      </c>
      <c r="X1005">
        <v>2</v>
      </c>
      <c r="Y1005">
        <v>0</v>
      </c>
      <c r="AA1005">
        <v>0</v>
      </c>
      <c r="AB1005">
        <v>9</v>
      </c>
      <c r="AC1005">
        <v>3</v>
      </c>
      <c r="AD1005">
        <v>0</v>
      </c>
      <c r="AE1005">
        <v>10</v>
      </c>
      <c r="AF1005" t="s">
        <v>126</v>
      </c>
      <c r="AG1005">
        <v>0</v>
      </c>
      <c r="AH1005">
        <v>0</v>
      </c>
      <c r="AI1005">
        <v>2</v>
      </c>
      <c r="AJ1005">
        <v>0</v>
      </c>
      <c r="AK1005" t="s">
        <v>613</v>
      </c>
      <c r="AL1005">
        <v>31.922021000000001</v>
      </c>
      <c r="AM1005" t="s">
        <v>614</v>
      </c>
      <c r="AN1005">
        <v>-100.96731699999999</v>
      </c>
      <c r="AQ1005" t="s">
        <v>129</v>
      </c>
      <c r="AR1005">
        <v>42</v>
      </c>
      <c r="AS1005">
        <v>-44</v>
      </c>
      <c r="AT1005">
        <v>0</v>
      </c>
      <c r="BB1005" t="str">
        <f t="shared" si="115"/>
        <v>1200</v>
      </c>
      <c r="BC1005">
        <v>1</v>
      </c>
      <c r="BD1005" t="str">
        <f t="shared" si="117"/>
        <v xml:space="preserve">N745MB  </v>
      </c>
      <c r="BE1005">
        <v>1</v>
      </c>
      <c r="BG1005">
        <v>0</v>
      </c>
      <c r="BH1005">
        <v>0</v>
      </c>
      <c r="BI1005">
        <v>0</v>
      </c>
      <c r="BL1005" t="s">
        <v>130</v>
      </c>
      <c r="BM1005">
        <v>1</v>
      </c>
      <c r="BN1005">
        <v>0</v>
      </c>
      <c r="BO1005">
        <v>0</v>
      </c>
      <c r="BP1005">
        <v>0</v>
      </c>
      <c r="BT1005">
        <v>0</v>
      </c>
      <c r="BU1005">
        <v>0</v>
      </c>
      <c r="CE1005" t="str">
        <f>"20:26:39.406"</f>
        <v>20:26:39.406</v>
      </c>
      <c r="CF1005">
        <v>405573569</v>
      </c>
      <c r="CS1005">
        <v>0</v>
      </c>
      <c r="CT1005">
        <v>2</v>
      </c>
      <c r="CU1005">
        <v>0</v>
      </c>
      <c r="CV1005">
        <v>2</v>
      </c>
      <c r="CW1005">
        <v>0</v>
      </c>
      <c r="CX1005">
        <v>3</v>
      </c>
      <c r="CY1005">
        <v>7</v>
      </c>
      <c r="CZ1005" t="s">
        <v>131</v>
      </c>
      <c r="DA1005">
        <v>116</v>
      </c>
      <c r="DB1005">
        <v>0</v>
      </c>
      <c r="DC1005" t="s">
        <v>132</v>
      </c>
      <c r="DD1005" t="s">
        <v>133</v>
      </c>
      <c r="DG1005">
        <v>14706323</v>
      </c>
      <c r="DI1005">
        <v>0</v>
      </c>
      <c r="DJ1005">
        <v>0</v>
      </c>
      <c r="DK1005">
        <v>1</v>
      </c>
      <c r="DL1005">
        <v>0</v>
      </c>
      <c r="DM1005">
        <v>0</v>
      </c>
      <c r="DN1005">
        <v>0</v>
      </c>
      <c r="DO1005">
        <v>0</v>
      </c>
      <c r="DP1005">
        <v>1</v>
      </c>
      <c r="DQ1005">
        <v>0</v>
      </c>
      <c r="DR1005">
        <v>0</v>
      </c>
      <c r="DS1005">
        <v>0</v>
      </c>
    </row>
    <row r="1006" spans="1:123" x14ac:dyDescent="0.25">
      <c r="A1006" t="str">
        <f>"11/29/2023 20:26:39.790"</f>
        <v>11/29/2023 20:26:39.790</v>
      </c>
      <c r="C1006" t="str">
        <f t="shared" si="116"/>
        <v>FFDF53C0</v>
      </c>
      <c r="D1006" t="s">
        <v>123</v>
      </c>
      <c r="E1006">
        <v>14</v>
      </c>
      <c r="F1006">
        <v>1014</v>
      </c>
      <c r="G1006" t="s">
        <v>124</v>
      </c>
      <c r="J1006" t="s">
        <v>125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>"20:26:39.398"</f>
        <v>20:26:39.398</v>
      </c>
      <c r="T1006" t="str">
        <f>"20:26:38.998"</f>
        <v>20:26:38.998</v>
      </c>
      <c r="U1006" t="str">
        <f t="shared" si="114"/>
        <v>AA0632</v>
      </c>
      <c r="V1006">
        <v>0</v>
      </c>
      <c r="W1006">
        <v>0</v>
      </c>
      <c r="X1006">
        <v>2</v>
      </c>
      <c r="Y1006">
        <v>0</v>
      </c>
      <c r="AA1006">
        <v>0</v>
      </c>
      <c r="AB1006">
        <v>9</v>
      </c>
      <c r="AC1006">
        <v>3</v>
      </c>
      <c r="AD1006">
        <v>0</v>
      </c>
      <c r="AE1006">
        <v>10</v>
      </c>
      <c r="AF1006" t="s">
        <v>126</v>
      </c>
      <c r="AG1006">
        <v>0</v>
      </c>
      <c r="AH1006">
        <v>0</v>
      </c>
      <c r="AI1006">
        <v>2</v>
      </c>
      <c r="AJ1006">
        <v>0</v>
      </c>
      <c r="AK1006" t="s">
        <v>613</v>
      </c>
      <c r="AL1006">
        <v>31.922021000000001</v>
      </c>
      <c r="AM1006" t="s">
        <v>614</v>
      </c>
      <c r="AN1006">
        <v>-100.96731699999999</v>
      </c>
      <c r="AQ1006" t="s">
        <v>129</v>
      </c>
      <c r="AR1006">
        <v>42</v>
      </c>
      <c r="AS1006">
        <v>-44</v>
      </c>
      <c r="AT1006">
        <v>0</v>
      </c>
      <c r="BB1006" t="str">
        <f t="shared" si="115"/>
        <v>1200</v>
      </c>
      <c r="BC1006">
        <v>1</v>
      </c>
      <c r="BD1006" t="str">
        <f t="shared" si="117"/>
        <v xml:space="preserve">N745MB  </v>
      </c>
      <c r="BE1006">
        <v>1</v>
      </c>
      <c r="BG1006">
        <v>0</v>
      </c>
      <c r="BH1006">
        <v>0</v>
      </c>
      <c r="BI1006">
        <v>0</v>
      </c>
      <c r="BL1006" t="s">
        <v>130</v>
      </c>
      <c r="BM1006">
        <v>1</v>
      </c>
      <c r="BN1006">
        <v>0</v>
      </c>
      <c r="BO1006">
        <v>0</v>
      </c>
      <c r="BP1006">
        <v>0</v>
      </c>
      <c r="BT1006">
        <v>0</v>
      </c>
      <c r="BU1006">
        <v>0</v>
      </c>
      <c r="CE1006" t="str">
        <f>"20:26:39.406"</f>
        <v>20:26:39.406</v>
      </c>
      <c r="CF1006">
        <v>405573569</v>
      </c>
      <c r="CS1006">
        <v>0</v>
      </c>
      <c r="CT1006">
        <v>2</v>
      </c>
      <c r="CU1006">
        <v>0</v>
      </c>
      <c r="CV1006">
        <v>2</v>
      </c>
      <c r="CW1006">
        <v>0</v>
      </c>
      <c r="CX1006">
        <v>3</v>
      </c>
      <c r="CY1006">
        <v>7</v>
      </c>
      <c r="CZ1006" t="s">
        <v>131</v>
      </c>
      <c r="DA1006">
        <v>116</v>
      </c>
      <c r="DB1006">
        <v>0</v>
      </c>
      <c r="DC1006" t="s">
        <v>132</v>
      </c>
      <c r="DD1006" t="s">
        <v>133</v>
      </c>
      <c r="DG1006">
        <v>14706323</v>
      </c>
      <c r="DI1006">
        <v>0</v>
      </c>
      <c r="DJ1006">
        <v>0</v>
      </c>
      <c r="DK1006">
        <v>1</v>
      </c>
      <c r="DL1006">
        <v>0</v>
      </c>
      <c r="DM1006">
        <v>0</v>
      </c>
      <c r="DN1006">
        <v>0</v>
      </c>
      <c r="DO1006">
        <v>0</v>
      </c>
      <c r="DP1006">
        <v>1</v>
      </c>
      <c r="DQ1006">
        <v>0</v>
      </c>
      <c r="DR1006">
        <v>0</v>
      </c>
      <c r="DS1006">
        <v>0</v>
      </c>
    </row>
    <row r="1007" spans="1:123" x14ac:dyDescent="0.25">
      <c r="A1007" t="str">
        <f>"11/29/2023 20:26:41.384"</f>
        <v>11/29/2023 20:26:41.384</v>
      </c>
      <c r="C1007" t="str">
        <f t="shared" si="116"/>
        <v>FFDF53C0</v>
      </c>
      <c r="D1007" t="s">
        <v>135</v>
      </c>
      <c r="E1007">
        <v>31</v>
      </c>
      <c r="H1007">
        <v>285</v>
      </c>
      <c r="I1007" t="s">
        <v>136</v>
      </c>
      <c r="J1007" t="s">
        <v>137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>"20:26:40.922"</f>
        <v>20:26:40.922</v>
      </c>
      <c r="T1007" t="str">
        <f>"20:26:40.622"</f>
        <v>20:26:40.622</v>
      </c>
      <c r="U1007" t="str">
        <f t="shared" si="114"/>
        <v>AA0632</v>
      </c>
      <c r="V1007">
        <v>0</v>
      </c>
      <c r="W1007">
        <v>0</v>
      </c>
      <c r="X1007">
        <v>2</v>
      </c>
      <c r="Y1007">
        <v>0</v>
      </c>
      <c r="AA1007">
        <v>0</v>
      </c>
      <c r="AB1007">
        <v>9</v>
      </c>
      <c r="AC1007">
        <v>3</v>
      </c>
      <c r="AD1007">
        <v>0</v>
      </c>
      <c r="AE1007">
        <v>10</v>
      </c>
      <c r="AF1007" t="s">
        <v>126</v>
      </c>
      <c r="AG1007">
        <v>0</v>
      </c>
      <c r="AH1007">
        <v>0</v>
      </c>
      <c r="AI1007">
        <v>2</v>
      </c>
      <c r="AJ1007">
        <v>0</v>
      </c>
      <c r="AK1007" t="s">
        <v>615</v>
      </c>
      <c r="AL1007">
        <v>31.921655999999999</v>
      </c>
      <c r="AM1007" t="s">
        <v>616</v>
      </c>
      <c r="AN1007">
        <v>-100.96716600000001</v>
      </c>
      <c r="AQ1007" t="s">
        <v>129</v>
      </c>
      <c r="AR1007">
        <v>25</v>
      </c>
      <c r="AS1007">
        <v>-50</v>
      </c>
      <c r="AT1007">
        <v>-64</v>
      </c>
      <c r="BB1007" t="str">
        <f t="shared" si="115"/>
        <v>1200</v>
      </c>
      <c r="BC1007">
        <v>1</v>
      </c>
      <c r="BD1007" t="str">
        <f t="shared" si="117"/>
        <v xml:space="preserve">N745MB  </v>
      </c>
      <c r="BE1007">
        <v>1</v>
      </c>
      <c r="BG1007">
        <v>0</v>
      </c>
      <c r="BH1007">
        <v>0</v>
      </c>
      <c r="BI1007">
        <v>0</v>
      </c>
      <c r="BL1007" t="s">
        <v>130</v>
      </c>
      <c r="BM1007">
        <v>1</v>
      </c>
      <c r="BN1007">
        <v>0</v>
      </c>
      <c r="BO1007">
        <v>0</v>
      </c>
      <c r="BP1007">
        <v>0</v>
      </c>
      <c r="BT1007">
        <v>0</v>
      </c>
      <c r="BU1007">
        <v>0</v>
      </c>
      <c r="CE1007" t="str">
        <f>"20:26:40.927"</f>
        <v>20:26:40.927</v>
      </c>
      <c r="CF1007">
        <v>927471653</v>
      </c>
      <c r="CS1007">
        <v>0</v>
      </c>
      <c r="CT1007">
        <v>2</v>
      </c>
      <c r="CU1007">
        <v>0</v>
      </c>
      <c r="CV1007">
        <v>2</v>
      </c>
      <c r="CW1007">
        <v>0</v>
      </c>
      <c r="CX1007">
        <v>2</v>
      </c>
      <c r="CY1007">
        <v>7</v>
      </c>
      <c r="CZ1007" t="s">
        <v>131</v>
      </c>
      <c r="DA1007">
        <v>116</v>
      </c>
      <c r="DB1007">
        <v>0</v>
      </c>
      <c r="DC1007" t="s">
        <v>132</v>
      </c>
      <c r="DD1007" t="s">
        <v>133</v>
      </c>
      <c r="DG1007">
        <v>14707590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1</v>
      </c>
      <c r="DQ1007">
        <v>0</v>
      </c>
      <c r="DR1007">
        <v>0</v>
      </c>
      <c r="DS1007">
        <v>0</v>
      </c>
    </row>
    <row r="1008" spans="1:123" x14ac:dyDescent="0.25">
      <c r="A1008" t="str">
        <f>"11/29/2023 20:26:41.384"</f>
        <v>11/29/2023 20:26:41.384</v>
      </c>
      <c r="C1008" t="str">
        <f t="shared" si="116"/>
        <v>FFDF53C0</v>
      </c>
      <c r="D1008" t="s">
        <v>123</v>
      </c>
      <c r="E1008">
        <v>14</v>
      </c>
      <c r="F1008">
        <v>1014</v>
      </c>
      <c r="G1008" t="s">
        <v>124</v>
      </c>
      <c r="J1008" t="s">
        <v>125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>"20:26:40.922"</f>
        <v>20:26:40.922</v>
      </c>
      <c r="T1008" t="str">
        <f>"20:26:40.622"</f>
        <v>20:26:40.622</v>
      </c>
      <c r="U1008" t="str">
        <f t="shared" si="114"/>
        <v>AA0632</v>
      </c>
      <c r="V1008">
        <v>0</v>
      </c>
      <c r="W1008">
        <v>0</v>
      </c>
      <c r="X1008">
        <v>2</v>
      </c>
      <c r="Y1008">
        <v>0</v>
      </c>
      <c r="AA1008">
        <v>0</v>
      </c>
      <c r="AB1008">
        <v>9</v>
      </c>
      <c r="AC1008">
        <v>3</v>
      </c>
      <c r="AD1008">
        <v>0</v>
      </c>
      <c r="AE1008">
        <v>10</v>
      </c>
      <c r="AF1008" t="s">
        <v>126</v>
      </c>
      <c r="AG1008">
        <v>0</v>
      </c>
      <c r="AH1008">
        <v>0</v>
      </c>
      <c r="AI1008">
        <v>2</v>
      </c>
      <c r="AJ1008">
        <v>0</v>
      </c>
      <c r="AK1008" t="s">
        <v>615</v>
      </c>
      <c r="AL1008">
        <v>31.921655999999999</v>
      </c>
      <c r="AM1008" t="s">
        <v>616</v>
      </c>
      <c r="AN1008">
        <v>-100.96716600000001</v>
      </c>
      <c r="AQ1008" t="s">
        <v>129</v>
      </c>
      <c r="AR1008">
        <v>25</v>
      </c>
      <c r="AS1008">
        <v>-50</v>
      </c>
      <c r="AT1008">
        <v>-64</v>
      </c>
      <c r="BB1008" t="str">
        <f t="shared" si="115"/>
        <v>1200</v>
      </c>
      <c r="BC1008">
        <v>1</v>
      </c>
      <c r="BD1008" t="str">
        <f t="shared" si="117"/>
        <v xml:space="preserve">N745MB  </v>
      </c>
      <c r="BE1008">
        <v>1</v>
      </c>
      <c r="BG1008">
        <v>0</v>
      </c>
      <c r="BH1008">
        <v>0</v>
      </c>
      <c r="BI1008">
        <v>0</v>
      </c>
      <c r="BL1008" t="s">
        <v>130</v>
      </c>
      <c r="BM1008">
        <v>1</v>
      </c>
      <c r="BN1008">
        <v>0</v>
      </c>
      <c r="BO1008">
        <v>0</v>
      </c>
      <c r="BP1008">
        <v>0</v>
      </c>
      <c r="BT1008">
        <v>0</v>
      </c>
      <c r="BU1008">
        <v>0</v>
      </c>
      <c r="CE1008" t="str">
        <f>"20:26:40.927"</f>
        <v>20:26:40.927</v>
      </c>
      <c r="CF1008">
        <v>927471653</v>
      </c>
      <c r="CS1008">
        <v>0</v>
      </c>
      <c r="CT1008">
        <v>2</v>
      </c>
      <c r="CU1008">
        <v>0</v>
      </c>
      <c r="CV1008">
        <v>2</v>
      </c>
      <c r="CW1008">
        <v>0</v>
      </c>
      <c r="CX1008">
        <v>2</v>
      </c>
      <c r="CY1008">
        <v>7</v>
      </c>
      <c r="CZ1008" t="s">
        <v>131</v>
      </c>
      <c r="DA1008">
        <v>116</v>
      </c>
      <c r="DB1008">
        <v>0</v>
      </c>
      <c r="DC1008" t="s">
        <v>132</v>
      </c>
      <c r="DD1008" t="s">
        <v>133</v>
      </c>
      <c r="DG1008">
        <v>14707590</v>
      </c>
      <c r="DI1008">
        <v>0</v>
      </c>
      <c r="DJ1008">
        <v>0</v>
      </c>
      <c r="DK1008">
        <v>1</v>
      </c>
      <c r="DL1008">
        <v>0</v>
      </c>
      <c r="DM1008">
        <v>0</v>
      </c>
      <c r="DN1008">
        <v>0</v>
      </c>
      <c r="DO1008">
        <v>0</v>
      </c>
      <c r="DP1008">
        <v>1</v>
      </c>
      <c r="DQ1008">
        <v>0</v>
      </c>
      <c r="DR1008">
        <v>0</v>
      </c>
      <c r="DS1008">
        <v>0</v>
      </c>
    </row>
    <row r="1009" spans="1:123" x14ac:dyDescent="0.25">
      <c r="A1009" t="str">
        <f>"11/29/2023 20:26:41.384"</f>
        <v>11/29/2023 20:26:41.384</v>
      </c>
      <c r="C1009" t="str">
        <f t="shared" si="116"/>
        <v>FFDF53C0</v>
      </c>
      <c r="D1009" t="s">
        <v>123</v>
      </c>
      <c r="E1009">
        <v>1</v>
      </c>
      <c r="F1009">
        <v>1001</v>
      </c>
      <c r="G1009" t="s">
        <v>134</v>
      </c>
      <c r="J1009" t="s">
        <v>125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>"20:26:40.922"</f>
        <v>20:26:40.922</v>
      </c>
      <c r="T1009" t="str">
        <f>"20:26:40.622"</f>
        <v>20:26:40.622</v>
      </c>
      <c r="U1009" t="str">
        <f t="shared" si="114"/>
        <v>AA0632</v>
      </c>
      <c r="V1009">
        <v>0</v>
      </c>
      <c r="W1009">
        <v>0</v>
      </c>
      <c r="X1009">
        <v>2</v>
      </c>
      <c r="Y1009">
        <v>0</v>
      </c>
      <c r="AA1009">
        <v>0</v>
      </c>
      <c r="AB1009">
        <v>9</v>
      </c>
      <c r="AC1009">
        <v>3</v>
      </c>
      <c r="AD1009">
        <v>0</v>
      </c>
      <c r="AE1009">
        <v>10</v>
      </c>
      <c r="AF1009" t="s">
        <v>126</v>
      </c>
      <c r="AG1009">
        <v>0</v>
      </c>
      <c r="AH1009">
        <v>0</v>
      </c>
      <c r="AI1009">
        <v>2</v>
      </c>
      <c r="AJ1009">
        <v>0</v>
      </c>
      <c r="AK1009" t="s">
        <v>615</v>
      </c>
      <c r="AL1009">
        <v>31.921655999999999</v>
      </c>
      <c r="AM1009" t="s">
        <v>616</v>
      </c>
      <c r="AN1009">
        <v>-100.96716600000001</v>
      </c>
      <c r="AQ1009" t="s">
        <v>129</v>
      </c>
      <c r="AR1009">
        <v>25</v>
      </c>
      <c r="AS1009">
        <v>-50</v>
      </c>
      <c r="AT1009">
        <v>-64</v>
      </c>
      <c r="BB1009" t="str">
        <f t="shared" si="115"/>
        <v>1200</v>
      </c>
      <c r="BC1009">
        <v>1</v>
      </c>
      <c r="BD1009" t="str">
        <f t="shared" si="117"/>
        <v xml:space="preserve">N745MB  </v>
      </c>
      <c r="BE1009">
        <v>1</v>
      </c>
      <c r="BG1009">
        <v>0</v>
      </c>
      <c r="BH1009">
        <v>0</v>
      </c>
      <c r="BI1009">
        <v>0</v>
      </c>
      <c r="BL1009" t="s">
        <v>130</v>
      </c>
      <c r="BM1009">
        <v>1</v>
      </c>
      <c r="BN1009">
        <v>0</v>
      </c>
      <c r="BO1009">
        <v>0</v>
      </c>
      <c r="BP1009">
        <v>0</v>
      </c>
      <c r="BT1009">
        <v>0</v>
      </c>
      <c r="BU1009">
        <v>0</v>
      </c>
      <c r="CE1009" t="str">
        <f>"20:26:40.927"</f>
        <v>20:26:40.927</v>
      </c>
      <c r="CF1009">
        <v>927471653</v>
      </c>
      <c r="CS1009">
        <v>0</v>
      </c>
      <c r="CT1009">
        <v>2</v>
      </c>
      <c r="CU1009">
        <v>0</v>
      </c>
      <c r="CV1009">
        <v>2</v>
      </c>
      <c r="CW1009">
        <v>0</v>
      </c>
      <c r="CX1009">
        <v>2</v>
      </c>
      <c r="CY1009">
        <v>7</v>
      </c>
      <c r="CZ1009" t="s">
        <v>131</v>
      </c>
      <c r="DA1009">
        <v>116</v>
      </c>
      <c r="DB1009">
        <v>0</v>
      </c>
      <c r="DC1009" t="s">
        <v>132</v>
      </c>
      <c r="DD1009" t="s">
        <v>133</v>
      </c>
      <c r="DG1009">
        <v>14707590</v>
      </c>
      <c r="DI1009">
        <v>0</v>
      </c>
      <c r="DJ1009">
        <v>0</v>
      </c>
      <c r="DK1009">
        <v>1</v>
      </c>
      <c r="DL1009">
        <v>0</v>
      </c>
      <c r="DM1009">
        <v>0</v>
      </c>
      <c r="DN1009">
        <v>0</v>
      </c>
      <c r="DO1009">
        <v>0</v>
      </c>
      <c r="DP1009">
        <v>1</v>
      </c>
      <c r="DQ1009">
        <v>0</v>
      </c>
      <c r="DR1009">
        <v>0</v>
      </c>
      <c r="DS1009">
        <v>0</v>
      </c>
    </row>
    <row r="1010" spans="1:123" x14ac:dyDescent="0.25">
      <c r="A1010" t="str">
        <f>"11/29/2023 20:26:41.384"</f>
        <v>11/29/2023 20:26:41.384</v>
      </c>
      <c r="C1010" t="str">
        <f t="shared" si="116"/>
        <v>FFDF53C0</v>
      </c>
      <c r="D1010" t="s">
        <v>138</v>
      </c>
      <c r="E1010">
        <v>3</v>
      </c>
      <c r="H1010">
        <v>160</v>
      </c>
      <c r="I1010" t="s">
        <v>124</v>
      </c>
      <c r="J1010" t="s">
        <v>139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>"20:26:40.922"</f>
        <v>20:26:40.922</v>
      </c>
      <c r="T1010" t="str">
        <f>"20:26:40.622"</f>
        <v>20:26:40.622</v>
      </c>
      <c r="U1010" t="str">
        <f t="shared" si="114"/>
        <v>AA0632</v>
      </c>
      <c r="V1010">
        <v>0</v>
      </c>
      <c r="W1010">
        <v>0</v>
      </c>
      <c r="X1010">
        <v>2</v>
      </c>
      <c r="Y1010">
        <v>0</v>
      </c>
      <c r="AA1010">
        <v>0</v>
      </c>
      <c r="AB1010">
        <v>9</v>
      </c>
      <c r="AC1010">
        <v>3</v>
      </c>
      <c r="AD1010">
        <v>0</v>
      </c>
      <c r="AE1010">
        <v>10</v>
      </c>
      <c r="AF1010" t="s">
        <v>126</v>
      </c>
      <c r="AG1010">
        <v>0</v>
      </c>
      <c r="AH1010">
        <v>0</v>
      </c>
      <c r="AI1010">
        <v>2</v>
      </c>
      <c r="AJ1010">
        <v>0</v>
      </c>
      <c r="AK1010" t="s">
        <v>615</v>
      </c>
      <c r="AL1010">
        <v>31.921655999999999</v>
      </c>
      <c r="AM1010" t="s">
        <v>616</v>
      </c>
      <c r="AN1010">
        <v>-100.96716600000001</v>
      </c>
      <c r="AQ1010" t="s">
        <v>129</v>
      </c>
      <c r="AR1010">
        <v>25</v>
      </c>
      <c r="AS1010">
        <v>-50</v>
      </c>
      <c r="AT1010">
        <v>-64</v>
      </c>
      <c r="BB1010" t="str">
        <f t="shared" si="115"/>
        <v>1200</v>
      </c>
      <c r="BC1010">
        <v>1</v>
      </c>
      <c r="BD1010" t="str">
        <f t="shared" si="117"/>
        <v xml:space="preserve">N745MB  </v>
      </c>
      <c r="BE1010">
        <v>1</v>
      </c>
      <c r="BG1010">
        <v>0</v>
      </c>
      <c r="BH1010">
        <v>0</v>
      </c>
      <c r="BI1010">
        <v>0</v>
      </c>
      <c r="BL1010" t="s">
        <v>130</v>
      </c>
      <c r="BM1010">
        <v>1</v>
      </c>
      <c r="BN1010">
        <v>0</v>
      </c>
      <c r="BO1010">
        <v>0</v>
      </c>
      <c r="BP1010">
        <v>0</v>
      </c>
      <c r="BT1010">
        <v>0</v>
      </c>
      <c r="BU1010">
        <v>0</v>
      </c>
      <c r="CE1010" t="str">
        <f>"20:26:40.927"</f>
        <v>20:26:40.927</v>
      </c>
      <c r="CF1010">
        <v>927471653</v>
      </c>
      <c r="CS1010">
        <v>0</v>
      </c>
      <c r="CT1010">
        <v>2</v>
      </c>
      <c r="CU1010">
        <v>0</v>
      </c>
      <c r="CV1010">
        <v>2</v>
      </c>
      <c r="CW1010">
        <v>0</v>
      </c>
      <c r="CX1010">
        <v>2</v>
      </c>
      <c r="CY1010">
        <v>7</v>
      </c>
      <c r="CZ1010" t="s">
        <v>131</v>
      </c>
      <c r="DA1010">
        <v>116</v>
      </c>
      <c r="DB1010">
        <v>0</v>
      </c>
      <c r="DC1010" t="s">
        <v>132</v>
      </c>
      <c r="DD1010" t="s">
        <v>133</v>
      </c>
      <c r="DG1010">
        <v>14707590</v>
      </c>
      <c r="DI1010">
        <v>0</v>
      </c>
      <c r="DJ1010">
        <v>0</v>
      </c>
      <c r="DK1010">
        <v>1</v>
      </c>
      <c r="DL1010">
        <v>0</v>
      </c>
      <c r="DM1010">
        <v>0</v>
      </c>
      <c r="DN1010">
        <v>0</v>
      </c>
      <c r="DO1010">
        <v>0</v>
      </c>
      <c r="DP1010">
        <v>1</v>
      </c>
      <c r="DQ1010">
        <v>0</v>
      </c>
      <c r="DR1010">
        <v>0</v>
      </c>
      <c r="DS1010">
        <v>0</v>
      </c>
    </row>
    <row r="1011" spans="1:123" x14ac:dyDescent="0.25">
      <c r="A1011" t="str">
        <f>"11/29/2023 20:26:42.587"</f>
        <v>11/29/2023 20:26:42.587</v>
      </c>
      <c r="C1011" t="str">
        <f t="shared" si="116"/>
        <v>FFDF53C0</v>
      </c>
      <c r="D1011" t="s">
        <v>164</v>
      </c>
      <c r="E1011">
        <v>24</v>
      </c>
      <c r="F1011">
        <v>2024</v>
      </c>
      <c r="G1011" t="s">
        <v>165</v>
      </c>
      <c r="J1011" t="s">
        <v>166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>"20:26:42.359"</f>
        <v>20:26:42.359</v>
      </c>
      <c r="T1011" t="str">
        <f>"20:26:42.159"</f>
        <v>20:26:42.159</v>
      </c>
      <c r="U1011" t="str">
        <f t="shared" si="114"/>
        <v>AA0632</v>
      </c>
      <c r="V1011">
        <v>0</v>
      </c>
      <c r="W1011">
        <v>0</v>
      </c>
      <c r="X1011">
        <v>2</v>
      </c>
      <c r="Y1011">
        <v>0</v>
      </c>
      <c r="AA1011">
        <v>0</v>
      </c>
      <c r="AB1011">
        <v>9</v>
      </c>
      <c r="AC1011">
        <v>3</v>
      </c>
      <c r="AD1011">
        <v>0</v>
      </c>
      <c r="AE1011">
        <v>10</v>
      </c>
      <c r="AF1011" t="s">
        <v>126</v>
      </c>
      <c r="AG1011">
        <v>0</v>
      </c>
      <c r="AH1011">
        <v>0</v>
      </c>
      <c r="AI1011">
        <v>2</v>
      </c>
      <c r="AJ1011">
        <v>0</v>
      </c>
      <c r="AK1011" t="s">
        <v>617</v>
      </c>
      <c r="AL1011">
        <v>31.921334000000002</v>
      </c>
      <c r="AM1011" t="s">
        <v>618</v>
      </c>
      <c r="AN1011">
        <v>-100.967038</v>
      </c>
      <c r="AQ1011" t="s">
        <v>129</v>
      </c>
      <c r="AR1011">
        <v>9</v>
      </c>
      <c r="AS1011">
        <v>-52</v>
      </c>
      <c r="AT1011">
        <v>-128</v>
      </c>
      <c r="BB1011" t="str">
        <f t="shared" si="115"/>
        <v>1200</v>
      </c>
      <c r="BC1011">
        <v>1</v>
      </c>
      <c r="BD1011" t="str">
        <f t="shared" si="117"/>
        <v xml:space="preserve">N745MB  </v>
      </c>
      <c r="BE1011">
        <v>1</v>
      </c>
      <c r="BG1011">
        <v>0</v>
      </c>
      <c r="BH1011">
        <v>0</v>
      </c>
      <c r="BI1011">
        <v>0</v>
      </c>
      <c r="BL1011" t="s">
        <v>130</v>
      </c>
      <c r="BM1011">
        <v>1</v>
      </c>
      <c r="BN1011">
        <v>0</v>
      </c>
      <c r="BO1011">
        <v>0</v>
      </c>
      <c r="BP1011">
        <v>0</v>
      </c>
      <c r="BT1011">
        <v>0</v>
      </c>
      <c r="BU1011">
        <v>0</v>
      </c>
      <c r="CE1011" t="str">
        <f>"20:26:42.361"</f>
        <v>20:26:42.361</v>
      </c>
      <c r="CF1011">
        <v>361379451</v>
      </c>
      <c r="CS1011">
        <v>0</v>
      </c>
      <c r="CT1011">
        <v>2</v>
      </c>
      <c r="CU1011">
        <v>0</v>
      </c>
      <c r="CV1011">
        <v>2</v>
      </c>
      <c r="CW1011">
        <v>0</v>
      </c>
      <c r="CX1011">
        <v>4</v>
      </c>
      <c r="CY1011">
        <v>7</v>
      </c>
      <c r="CZ1011" t="s">
        <v>131</v>
      </c>
      <c r="DA1011">
        <v>483</v>
      </c>
      <c r="DB1011">
        <v>1</v>
      </c>
      <c r="DC1011" t="s">
        <v>169</v>
      </c>
      <c r="DD1011" t="s">
        <v>170</v>
      </c>
      <c r="DG1011">
        <v>7382767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1</v>
      </c>
      <c r="DQ1011">
        <v>0</v>
      </c>
      <c r="DR1011">
        <v>0</v>
      </c>
      <c r="DS1011">
        <v>0</v>
      </c>
    </row>
    <row r="1012" spans="1:123" x14ac:dyDescent="0.25">
      <c r="A1012" t="str">
        <f>"11/29/2023 20:26:42.587"</f>
        <v>11/29/2023 20:26:42.587</v>
      </c>
      <c r="C1012" t="str">
        <f t="shared" si="116"/>
        <v>FFDF53C0</v>
      </c>
      <c r="D1012" t="s">
        <v>135</v>
      </c>
      <c r="E1012">
        <v>31</v>
      </c>
      <c r="H1012">
        <v>285</v>
      </c>
      <c r="I1012" t="s">
        <v>136</v>
      </c>
      <c r="J1012" t="s">
        <v>137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>"20:26:42.359"</f>
        <v>20:26:42.359</v>
      </c>
      <c r="T1012" t="str">
        <f>"20:26:42.159"</f>
        <v>20:26:42.159</v>
      </c>
      <c r="U1012" t="str">
        <f t="shared" si="114"/>
        <v>AA0632</v>
      </c>
      <c r="V1012">
        <v>0</v>
      </c>
      <c r="W1012">
        <v>0</v>
      </c>
      <c r="X1012">
        <v>2</v>
      </c>
      <c r="Y1012">
        <v>0</v>
      </c>
      <c r="AA1012">
        <v>0</v>
      </c>
      <c r="AB1012">
        <v>9</v>
      </c>
      <c r="AC1012">
        <v>3</v>
      </c>
      <c r="AD1012">
        <v>0</v>
      </c>
      <c r="AE1012">
        <v>10</v>
      </c>
      <c r="AF1012" t="s">
        <v>126</v>
      </c>
      <c r="AG1012">
        <v>0</v>
      </c>
      <c r="AH1012">
        <v>0</v>
      </c>
      <c r="AI1012">
        <v>2</v>
      </c>
      <c r="AJ1012">
        <v>0</v>
      </c>
      <c r="AK1012" t="s">
        <v>617</v>
      </c>
      <c r="AL1012">
        <v>31.921334000000002</v>
      </c>
      <c r="AM1012" t="s">
        <v>618</v>
      </c>
      <c r="AN1012">
        <v>-100.967038</v>
      </c>
      <c r="AQ1012" t="s">
        <v>129</v>
      </c>
      <c r="AR1012">
        <v>9</v>
      </c>
      <c r="AS1012">
        <v>-52</v>
      </c>
      <c r="AT1012">
        <v>-128</v>
      </c>
      <c r="BB1012" t="str">
        <f t="shared" si="115"/>
        <v>1200</v>
      </c>
      <c r="BC1012">
        <v>1</v>
      </c>
      <c r="BD1012" t="str">
        <f t="shared" si="117"/>
        <v xml:space="preserve">N745MB  </v>
      </c>
      <c r="BE1012">
        <v>1</v>
      </c>
      <c r="BG1012">
        <v>0</v>
      </c>
      <c r="BH1012">
        <v>0</v>
      </c>
      <c r="BI1012">
        <v>0</v>
      </c>
      <c r="BL1012" t="s">
        <v>130</v>
      </c>
      <c r="BM1012">
        <v>1</v>
      </c>
      <c r="BN1012">
        <v>0</v>
      </c>
      <c r="BO1012">
        <v>0</v>
      </c>
      <c r="BP1012">
        <v>0</v>
      </c>
      <c r="BT1012">
        <v>0</v>
      </c>
      <c r="BU1012">
        <v>0</v>
      </c>
      <c r="CE1012" t="str">
        <f>"20:26:42.361"</f>
        <v>20:26:42.361</v>
      </c>
      <c r="CF1012">
        <v>361376016</v>
      </c>
      <c r="CS1012">
        <v>0</v>
      </c>
      <c r="CT1012">
        <v>2</v>
      </c>
      <c r="CU1012">
        <v>0</v>
      </c>
      <c r="CV1012">
        <v>2</v>
      </c>
      <c r="CW1012">
        <v>0</v>
      </c>
      <c r="CX1012">
        <v>4</v>
      </c>
      <c r="CY1012">
        <v>7</v>
      </c>
      <c r="CZ1012" t="s">
        <v>131</v>
      </c>
      <c r="DA1012">
        <v>116</v>
      </c>
      <c r="DB1012">
        <v>0</v>
      </c>
      <c r="DC1012" t="s">
        <v>132</v>
      </c>
      <c r="DD1012" t="s">
        <v>133</v>
      </c>
      <c r="DG1012">
        <v>14708689</v>
      </c>
      <c r="DI1012">
        <v>0</v>
      </c>
      <c r="DJ1012">
        <v>0</v>
      </c>
      <c r="DK1012">
        <v>1</v>
      </c>
      <c r="DL1012">
        <v>0</v>
      </c>
      <c r="DM1012">
        <v>0</v>
      </c>
      <c r="DN1012">
        <v>0</v>
      </c>
      <c r="DO1012">
        <v>0</v>
      </c>
      <c r="DP1012">
        <v>1</v>
      </c>
      <c r="DQ1012">
        <v>0</v>
      </c>
      <c r="DR1012">
        <v>0</v>
      </c>
      <c r="DS1012">
        <v>0</v>
      </c>
    </row>
    <row r="1013" spans="1:123" x14ac:dyDescent="0.25">
      <c r="A1013" t="str">
        <f>"11/29/2023 20:26:42.587"</f>
        <v>11/29/2023 20:26:42.587</v>
      </c>
      <c r="C1013" t="str">
        <f t="shared" si="116"/>
        <v>FFDF53C0</v>
      </c>
      <c r="D1013" t="s">
        <v>123</v>
      </c>
      <c r="E1013">
        <v>14</v>
      </c>
      <c r="F1013">
        <v>1014</v>
      </c>
      <c r="G1013" t="s">
        <v>124</v>
      </c>
      <c r="J1013" t="s">
        <v>125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>"20:26:42.359"</f>
        <v>20:26:42.359</v>
      </c>
      <c r="T1013" t="str">
        <f>"20:26:42.159"</f>
        <v>20:26:42.159</v>
      </c>
      <c r="U1013" t="str">
        <f t="shared" si="114"/>
        <v>AA0632</v>
      </c>
      <c r="V1013">
        <v>0</v>
      </c>
      <c r="W1013">
        <v>0</v>
      </c>
      <c r="X1013">
        <v>2</v>
      </c>
      <c r="Y1013">
        <v>0</v>
      </c>
      <c r="AA1013">
        <v>0</v>
      </c>
      <c r="AB1013">
        <v>9</v>
      </c>
      <c r="AC1013">
        <v>3</v>
      </c>
      <c r="AD1013">
        <v>0</v>
      </c>
      <c r="AE1013">
        <v>10</v>
      </c>
      <c r="AF1013" t="s">
        <v>126</v>
      </c>
      <c r="AG1013">
        <v>0</v>
      </c>
      <c r="AH1013">
        <v>0</v>
      </c>
      <c r="AI1013">
        <v>2</v>
      </c>
      <c r="AJ1013">
        <v>0</v>
      </c>
      <c r="AK1013" t="s">
        <v>617</v>
      </c>
      <c r="AL1013">
        <v>31.921334000000002</v>
      </c>
      <c r="AM1013" t="s">
        <v>618</v>
      </c>
      <c r="AN1013">
        <v>-100.967038</v>
      </c>
      <c r="AQ1013" t="s">
        <v>129</v>
      </c>
      <c r="AR1013">
        <v>9</v>
      </c>
      <c r="AS1013">
        <v>-52</v>
      </c>
      <c r="AT1013">
        <v>-128</v>
      </c>
      <c r="BB1013" t="str">
        <f t="shared" si="115"/>
        <v>1200</v>
      </c>
      <c r="BC1013">
        <v>1</v>
      </c>
      <c r="BD1013" t="str">
        <f t="shared" si="117"/>
        <v xml:space="preserve">N745MB  </v>
      </c>
      <c r="BE1013">
        <v>1</v>
      </c>
      <c r="BG1013">
        <v>0</v>
      </c>
      <c r="BH1013">
        <v>0</v>
      </c>
      <c r="BI1013">
        <v>0</v>
      </c>
      <c r="BL1013" t="s">
        <v>130</v>
      </c>
      <c r="BM1013">
        <v>1</v>
      </c>
      <c r="BN1013">
        <v>0</v>
      </c>
      <c r="BO1013">
        <v>0</v>
      </c>
      <c r="BP1013">
        <v>0</v>
      </c>
      <c r="BT1013">
        <v>0</v>
      </c>
      <c r="BU1013">
        <v>0</v>
      </c>
      <c r="CE1013" t="str">
        <f>"20:26:42.361"</f>
        <v>20:26:42.361</v>
      </c>
      <c r="CF1013">
        <v>361379451</v>
      </c>
      <c r="CS1013">
        <v>0</v>
      </c>
      <c r="CT1013">
        <v>2</v>
      </c>
      <c r="CU1013">
        <v>0</v>
      </c>
      <c r="CV1013">
        <v>2</v>
      </c>
      <c r="CW1013">
        <v>0</v>
      </c>
      <c r="CX1013">
        <v>4</v>
      </c>
      <c r="CY1013">
        <v>7</v>
      </c>
      <c r="CZ1013" t="s">
        <v>131</v>
      </c>
      <c r="DA1013">
        <v>483</v>
      </c>
      <c r="DB1013">
        <v>1</v>
      </c>
      <c r="DC1013" t="s">
        <v>169</v>
      </c>
      <c r="DD1013" t="s">
        <v>170</v>
      </c>
      <c r="DG1013">
        <v>7382767</v>
      </c>
      <c r="DI1013">
        <v>0</v>
      </c>
      <c r="DJ1013">
        <v>0</v>
      </c>
      <c r="DK1013">
        <v>1</v>
      </c>
      <c r="DL1013">
        <v>0</v>
      </c>
      <c r="DM1013">
        <v>0</v>
      </c>
      <c r="DN1013">
        <v>0</v>
      </c>
      <c r="DO1013">
        <v>0</v>
      </c>
      <c r="DP1013">
        <v>1</v>
      </c>
      <c r="DQ1013">
        <v>0</v>
      </c>
      <c r="DR1013">
        <v>0</v>
      </c>
      <c r="DS1013">
        <v>0</v>
      </c>
    </row>
    <row r="1014" spans="1:123" x14ac:dyDescent="0.25">
      <c r="A1014" t="str">
        <f>"11/29/2023 20:26:42.649"</f>
        <v>11/29/2023 20:26:42.649</v>
      </c>
      <c r="C1014" t="str">
        <f t="shared" si="116"/>
        <v>FFDF53C0</v>
      </c>
      <c r="D1014" t="s">
        <v>123</v>
      </c>
      <c r="E1014">
        <v>1</v>
      </c>
      <c r="F1014">
        <v>1001</v>
      </c>
      <c r="G1014" t="s">
        <v>134</v>
      </c>
      <c r="J1014" t="s">
        <v>125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>"20:26:42.359"</f>
        <v>20:26:42.359</v>
      </c>
      <c r="T1014" t="str">
        <f>"20:26:42.159"</f>
        <v>20:26:42.159</v>
      </c>
      <c r="U1014" t="str">
        <f t="shared" si="114"/>
        <v>AA0632</v>
      </c>
      <c r="V1014">
        <v>0</v>
      </c>
      <c r="W1014">
        <v>0</v>
      </c>
      <c r="X1014">
        <v>2</v>
      </c>
      <c r="Y1014">
        <v>0</v>
      </c>
      <c r="AA1014">
        <v>0</v>
      </c>
      <c r="AB1014">
        <v>9</v>
      </c>
      <c r="AC1014">
        <v>3</v>
      </c>
      <c r="AD1014">
        <v>0</v>
      </c>
      <c r="AE1014">
        <v>10</v>
      </c>
      <c r="AF1014" t="s">
        <v>126</v>
      </c>
      <c r="AG1014">
        <v>0</v>
      </c>
      <c r="AH1014">
        <v>0</v>
      </c>
      <c r="AI1014">
        <v>2</v>
      </c>
      <c r="AJ1014">
        <v>0</v>
      </c>
      <c r="AK1014" t="s">
        <v>617</v>
      </c>
      <c r="AL1014">
        <v>31.921334000000002</v>
      </c>
      <c r="AM1014" t="s">
        <v>618</v>
      </c>
      <c r="AN1014">
        <v>-100.967038</v>
      </c>
      <c r="AQ1014" t="s">
        <v>129</v>
      </c>
      <c r="AR1014">
        <v>9</v>
      </c>
      <c r="AS1014">
        <v>-52</v>
      </c>
      <c r="AT1014">
        <v>-128</v>
      </c>
      <c r="BB1014" t="str">
        <f t="shared" si="115"/>
        <v>1200</v>
      </c>
      <c r="BC1014">
        <v>1</v>
      </c>
      <c r="BD1014" t="str">
        <f t="shared" si="117"/>
        <v xml:space="preserve">N745MB  </v>
      </c>
      <c r="BE1014">
        <v>1</v>
      </c>
      <c r="BG1014">
        <v>0</v>
      </c>
      <c r="BH1014">
        <v>0</v>
      </c>
      <c r="BI1014">
        <v>0</v>
      </c>
      <c r="BL1014" t="s">
        <v>130</v>
      </c>
      <c r="BM1014">
        <v>1</v>
      </c>
      <c r="BN1014">
        <v>0</v>
      </c>
      <c r="BO1014">
        <v>0</v>
      </c>
      <c r="BP1014">
        <v>0</v>
      </c>
      <c r="BT1014">
        <v>0</v>
      </c>
      <c r="BU1014">
        <v>0</v>
      </c>
      <c r="CE1014" t="str">
        <f>"20:26:42.361"</f>
        <v>20:26:42.361</v>
      </c>
      <c r="CF1014">
        <v>361376016</v>
      </c>
      <c r="CS1014">
        <v>0</v>
      </c>
      <c r="CT1014">
        <v>2</v>
      </c>
      <c r="CU1014">
        <v>0</v>
      </c>
      <c r="CV1014">
        <v>2</v>
      </c>
      <c r="CW1014">
        <v>0</v>
      </c>
      <c r="CX1014">
        <v>4</v>
      </c>
      <c r="CY1014">
        <v>7</v>
      </c>
      <c r="CZ1014" t="s">
        <v>131</v>
      </c>
      <c r="DA1014">
        <v>116</v>
      </c>
      <c r="DB1014">
        <v>0</v>
      </c>
      <c r="DC1014" t="s">
        <v>132</v>
      </c>
      <c r="DD1014" t="s">
        <v>133</v>
      </c>
      <c r="DG1014">
        <v>14708689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1</v>
      </c>
      <c r="DQ1014">
        <v>0</v>
      </c>
      <c r="DR1014">
        <v>0</v>
      </c>
      <c r="DS1014">
        <v>0</v>
      </c>
    </row>
    <row r="1015" spans="1:123" x14ac:dyDescent="0.25">
      <c r="A1015" t="str">
        <f>"11/29/2023 20:26:42.649"</f>
        <v>11/29/2023 20:26:42.649</v>
      </c>
      <c r="C1015" t="str">
        <f t="shared" si="116"/>
        <v>FFDF53C0</v>
      </c>
      <c r="D1015" t="s">
        <v>138</v>
      </c>
      <c r="E1015">
        <v>3</v>
      </c>
      <c r="H1015">
        <v>160</v>
      </c>
      <c r="I1015" t="s">
        <v>124</v>
      </c>
      <c r="J1015" t="s">
        <v>139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>"20:26:42.359"</f>
        <v>20:26:42.359</v>
      </c>
      <c r="T1015" t="str">
        <f>"20:26:42.159"</f>
        <v>20:26:42.159</v>
      </c>
      <c r="U1015" t="str">
        <f t="shared" si="114"/>
        <v>AA0632</v>
      </c>
      <c r="V1015">
        <v>0</v>
      </c>
      <c r="W1015">
        <v>0</v>
      </c>
      <c r="X1015">
        <v>2</v>
      </c>
      <c r="Y1015">
        <v>0</v>
      </c>
      <c r="AA1015">
        <v>0</v>
      </c>
      <c r="AB1015">
        <v>9</v>
      </c>
      <c r="AC1015">
        <v>3</v>
      </c>
      <c r="AD1015">
        <v>0</v>
      </c>
      <c r="AE1015">
        <v>10</v>
      </c>
      <c r="AF1015" t="s">
        <v>126</v>
      </c>
      <c r="AG1015">
        <v>0</v>
      </c>
      <c r="AH1015">
        <v>0</v>
      </c>
      <c r="AI1015">
        <v>2</v>
      </c>
      <c r="AJ1015">
        <v>0</v>
      </c>
      <c r="AK1015" t="s">
        <v>617</v>
      </c>
      <c r="AL1015">
        <v>31.921334000000002</v>
      </c>
      <c r="AM1015" t="s">
        <v>618</v>
      </c>
      <c r="AN1015">
        <v>-100.967038</v>
      </c>
      <c r="AQ1015" t="s">
        <v>129</v>
      </c>
      <c r="AR1015">
        <v>9</v>
      </c>
      <c r="AS1015">
        <v>-52</v>
      </c>
      <c r="AT1015">
        <v>-128</v>
      </c>
      <c r="BB1015" t="str">
        <f t="shared" si="115"/>
        <v>1200</v>
      </c>
      <c r="BC1015">
        <v>1</v>
      </c>
      <c r="BD1015" t="str">
        <f t="shared" si="117"/>
        <v xml:space="preserve">N745MB  </v>
      </c>
      <c r="BE1015">
        <v>1</v>
      </c>
      <c r="BG1015">
        <v>0</v>
      </c>
      <c r="BH1015">
        <v>0</v>
      </c>
      <c r="BI1015">
        <v>0</v>
      </c>
      <c r="BL1015" t="s">
        <v>130</v>
      </c>
      <c r="BM1015">
        <v>1</v>
      </c>
      <c r="BN1015">
        <v>0</v>
      </c>
      <c r="BO1015">
        <v>0</v>
      </c>
      <c r="BP1015">
        <v>0</v>
      </c>
      <c r="BT1015">
        <v>0</v>
      </c>
      <c r="BU1015">
        <v>0</v>
      </c>
      <c r="CE1015" t="str">
        <f>"20:26:42.361"</f>
        <v>20:26:42.361</v>
      </c>
      <c r="CF1015">
        <v>361379451</v>
      </c>
      <c r="CS1015">
        <v>0</v>
      </c>
      <c r="CT1015">
        <v>2</v>
      </c>
      <c r="CU1015">
        <v>0</v>
      </c>
      <c r="CV1015">
        <v>2</v>
      </c>
      <c r="CW1015">
        <v>0</v>
      </c>
      <c r="CX1015">
        <v>4</v>
      </c>
      <c r="CY1015">
        <v>7</v>
      </c>
      <c r="CZ1015" t="s">
        <v>131</v>
      </c>
      <c r="DA1015">
        <v>483</v>
      </c>
      <c r="DB1015">
        <v>1</v>
      </c>
      <c r="DC1015" t="s">
        <v>169</v>
      </c>
      <c r="DD1015" t="s">
        <v>170</v>
      </c>
      <c r="DG1015">
        <v>7382767</v>
      </c>
      <c r="DI1015">
        <v>0</v>
      </c>
      <c r="DJ1015">
        <v>0</v>
      </c>
      <c r="DK1015">
        <v>1</v>
      </c>
      <c r="DL1015">
        <v>0</v>
      </c>
      <c r="DM1015">
        <v>0</v>
      </c>
      <c r="DN1015">
        <v>0</v>
      </c>
      <c r="DO1015">
        <v>0</v>
      </c>
      <c r="DP1015">
        <v>1</v>
      </c>
      <c r="DQ1015">
        <v>0</v>
      </c>
      <c r="DR1015">
        <v>0</v>
      </c>
      <c r="DS1015">
        <v>0</v>
      </c>
    </row>
    <row r="1016" spans="1:123" x14ac:dyDescent="0.25">
      <c r="A1016" t="str">
        <f>"11/29/2023 20:26:43.618"</f>
        <v>11/29/2023 20:26:43.618</v>
      </c>
      <c r="C1016" t="str">
        <f t="shared" si="116"/>
        <v>FFDF53C0</v>
      </c>
      <c r="D1016" t="s">
        <v>164</v>
      </c>
      <c r="E1016">
        <v>24</v>
      </c>
      <c r="F1016">
        <v>2024</v>
      </c>
      <c r="G1016" t="s">
        <v>165</v>
      </c>
      <c r="J1016" t="s">
        <v>166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>"20:26:43.313"</f>
        <v>20:26:43.313</v>
      </c>
      <c r="T1016" t="str">
        <f>"20:26:43.113"</f>
        <v>20:26:43.113</v>
      </c>
      <c r="U1016" t="str">
        <f t="shared" si="114"/>
        <v>AA0632</v>
      </c>
      <c r="V1016">
        <v>0</v>
      </c>
      <c r="W1016">
        <v>0</v>
      </c>
      <c r="X1016">
        <v>2</v>
      </c>
      <c r="Y1016">
        <v>0</v>
      </c>
      <c r="AA1016">
        <v>0</v>
      </c>
      <c r="AB1016">
        <v>9</v>
      </c>
      <c r="AC1016">
        <v>3</v>
      </c>
      <c r="AD1016">
        <v>0</v>
      </c>
      <c r="AE1016">
        <v>10</v>
      </c>
      <c r="AF1016" t="s">
        <v>126</v>
      </c>
      <c r="AG1016">
        <v>0</v>
      </c>
      <c r="AH1016">
        <v>0</v>
      </c>
      <c r="AI1016">
        <v>2</v>
      </c>
      <c r="AJ1016">
        <v>0</v>
      </c>
      <c r="AK1016" t="s">
        <v>619</v>
      </c>
      <c r="AL1016">
        <v>31.921098000000001</v>
      </c>
      <c r="AM1016" t="s">
        <v>618</v>
      </c>
      <c r="AN1016">
        <v>-100.967038</v>
      </c>
      <c r="AQ1016" t="s">
        <v>129</v>
      </c>
      <c r="AR1016">
        <v>0</v>
      </c>
      <c r="AS1016">
        <v>-52</v>
      </c>
      <c r="AT1016">
        <v>-192</v>
      </c>
      <c r="BB1016" t="str">
        <f t="shared" si="115"/>
        <v>1200</v>
      </c>
      <c r="BC1016">
        <v>1</v>
      </c>
      <c r="BD1016" t="str">
        <f t="shared" si="117"/>
        <v xml:space="preserve">N745MB  </v>
      </c>
      <c r="BE1016">
        <v>1</v>
      </c>
      <c r="BG1016">
        <v>0</v>
      </c>
      <c r="BH1016">
        <v>0</v>
      </c>
      <c r="BI1016">
        <v>0</v>
      </c>
      <c r="BL1016" t="s">
        <v>130</v>
      </c>
      <c r="BM1016">
        <v>1</v>
      </c>
      <c r="BN1016">
        <v>0</v>
      </c>
      <c r="BO1016">
        <v>0</v>
      </c>
      <c r="BP1016">
        <v>0</v>
      </c>
      <c r="BT1016">
        <v>0</v>
      </c>
      <c r="BU1016">
        <v>0</v>
      </c>
      <c r="CE1016" t="str">
        <f>"20:26:43.313"</f>
        <v>20:26:43.313</v>
      </c>
      <c r="CF1016">
        <v>313315959</v>
      </c>
      <c r="CS1016">
        <v>0</v>
      </c>
      <c r="CT1016">
        <v>2</v>
      </c>
      <c r="CU1016">
        <v>0</v>
      </c>
      <c r="CV1016">
        <v>2</v>
      </c>
      <c r="CW1016">
        <v>0</v>
      </c>
      <c r="CX1016">
        <v>4</v>
      </c>
      <c r="CY1016">
        <v>7</v>
      </c>
      <c r="CZ1016" t="s">
        <v>131</v>
      </c>
      <c r="DA1016">
        <v>483</v>
      </c>
      <c r="DB1016">
        <v>1</v>
      </c>
      <c r="DC1016" t="s">
        <v>169</v>
      </c>
      <c r="DD1016" t="s">
        <v>170</v>
      </c>
      <c r="DG1016">
        <v>7382911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1</v>
      </c>
      <c r="DQ1016">
        <v>0</v>
      </c>
      <c r="DR1016">
        <v>0</v>
      </c>
      <c r="DS1016">
        <v>0</v>
      </c>
    </row>
    <row r="1017" spans="1:123" x14ac:dyDescent="0.25">
      <c r="A1017" t="str">
        <f>"11/29/2023 20:26:43.618"</f>
        <v>11/29/2023 20:26:43.618</v>
      </c>
      <c r="C1017" t="str">
        <f t="shared" si="116"/>
        <v>FFDF53C0</v>
      </c>
      <c r="D1017" t="s">
        <v>123</v>
      </c>
      <c r="E1017">
        <v>14</v>
      </c>
      <c r="F1017">
        <v>1014</v>
      </c>
      <c r="G1017" t="s">
        <v>124</v>
      </c>
      <c r="J1017" t="s">
        <v>125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>"20:26:43.313"</f>
        <v>20:26:43.313</v>
      </c>
      <c r="T1017" t="str">
        <f>"20:26:43.113"</f>
        <v>20:26:43.113</v>
      </c>
      <c r="U1017" t="str">
        <f t="shared" si="114"/>
        <v>AA0632</v>
      </c>
      <c r="V1017">
        <v>0</v>
      </c>
      <c r="W1017">
        <v>0</v>
      </c>
      <c r="X1017">
        <v>2</v>
      </c>
      <c r="Y1017">
        <v>0</v>
      </c>
      <c r="AA1017">
        <v>0</v>
      </c>
      <c r="AB1017">
        <v>9</v>
      </c>
      <c r="AC1017">
        <v>3</v>
      </c>
      <c r="AD1017">
        <v>0</v>
      </c>
      <c r="AE1017">
        <v>10</v>
      </c>
      <c r="AF1017" t="s">
        <v>126</v>
      </c>
      <c r="AG1017">
        <v>0</v>
      </c>
      <c r="AH1017">
        <v>0</v>
      </c>
      <c r="AI1017">
        <v>2</v>
      </c>
      <c r="AJ1017">
        <v>0</v>
      </c>
      <c r="AK1017" t="s">
        <v>619</v>
      </c>
      <c r="AL1017">
        <v>31.921098000000001</v>
      </c>
      <c r="AM1017" t="s">
        <v>618</v>
      </c>
      <c r="AN1017">
        <v>-100.967038</v>
      </c>
      <c r="AQ1017" t="s">
        <v>129</v>
      </c>
      <c r="AR1017">
        <v>0</v>
      </c>
      <c r="AS1017">
        <v>-52</v>
      </c>
      <c r="AT1017">
        <v>-192</v>
      </c>
      <c r="BB1017" t="str">
        <f t="shared" si="115"/>
        <v>1200</v>
      </c>
      <c r="BC1017">
        <v>1</v>
      </c>
      <c r="BD1017" t="str">
        <f t="shared" si="117"/>
        <v xml:space="preserve">N745MB  </v>
      </c>
      <c r="BE1017">
        <v>1</v>
      </c>
      <c r="BG1017">
        <v>0</v>
      </c>
      <c r="BH1017">
        <v>0</v>
      </c>
      <c r="BI1017">
        <v>0</v>
      </c>
      <c r="BL1017" t="s">
        <v>130</v>
      </c>
      <c r="BM1017">
        <v>1</v>
      </c>
      <c r="BN1017">
        <v>0</v>
      </c>
      <c r="BO1017">
        <v>0</v>
      </c>
      <c r="BP1017">
        <v>0</v>
      </c>
      <c r="BT1017">
        <v>0</v>
      </c>
      <c r="BU1017">
        <v>0</v>
      </c>
      <c r="CE1017" t="str">
        <f>"20:26:43.313"</f>
        <v>20:26:43.313</v>
      </c>
      <c r="CF1017">
        <v>313315959</v>
      </c>
      <c r="CS1017">
        <v>0</v>
      </c>
      <c r="CT1017">
        <v>2</v>
      </c>
      <c r="CU1017">
        <v>0</v>
      </c>
      <c r="CV1017">
        <v>2</v>
      </c>
      <c r="CW1017">
        <v>0</v>
      </c>
      <c r="CX1017">
        <v>4</v>
      </c>
      <c r="CY1017">
        <v>7</v>
      </c>
      <c r="CZ1017" t="s">
        <v>131</v>
      </c>
      <c r="DA1017">
        <v>483</v>
      </c>
      <c r="DB1017">
        <v>1</v>
      </c>
      <c r="DC1017" t="s">
        <v>169</v>
      </c>
      <c r="DD1017" t="s">
        <v>170</v>
      </c>
      <c r="DG1017">
        <v>7382911</v>
      </c>
      <c r="DI1017">
        <v>0</v>
      </c>
      <c r="DJ1017">
        <v>0</v>
      </c>
      <c r="DK1017">
        <v>1</v>
      </c>
      <c r="DL1017">
        <v>0</v>
      </c>
      <c r="DM1017">
        <v>0</v>
      </c>
      <c r="DN1017">
        <v>0</v>
      </c>
      <c r="DO1017">
        <v>0</v>
      </c>
      <c r="DP1017">
        <v>1</v>
      </c>
      <c r="DQ1017">
        <v>0</v>
      </c>
      <c r="DR1017">
        <v>0</v>
      </c>
      <c r="DS1017">
        <v>0</v>
      </c>
    </row>
    <row r="1018" spans="1:123" x14ac:dyDescent="0.25">
      <c r="A1018" t="str">
        <f>"11/29/2023 20:26:43.649"</f>
        <v>11/29/2023 20:26:43.649</v>
      </c>
      <c r="C1018" t="str">
        <f t="shared" si="116"/>
        <v>FFDF53C0</v>
      </c>
      <c r="D1018" t="s">
        <v>138</v>
      </c>
      <c r="E1018">
        <v>3</v>
      </c>
      <c r="H1018">
        <v>160</v>
      </c>
      <c r="I1018" t="s">
        <v>124</v>
      </c>
      <c r="J1018" t="s">
        <v>139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>"20:26:43.313"</f>
        <v>20:26:43.313</v>
      </c>
      <c r="T1018" t="str">
        <f>"20:26:43.113"</f>
        <v>20:26:43.113</v>
      </c>
      <c r="U1018" t="str">
        <f t="shared" si="114"/>
        <v>AA0632</v>
      </c>
      <c r="V1018">
        <v>0</v>
      </c>
      <c r="W1018">
        <v>0</v>
      </c>
      <c r="X1018">
        <v>2</v>
      </c>
      <c r="Y1018">
        <v>0</v>
      </c>
      <c r="AA1018">
        <v>0</v>
      </c>
      <c r="AB1018">
        <v>9</v>
      </c>
      <c r="AC1018">
        <v>3</v>
      </c>
      <c r="AD1018">
        <v>0</v>
      </c>
      <c r="AE1018">
        <v>10</v>
      </c>
      <c r="AF1018" t="s">
        <v>126</v>
      </c>
      <c r="AG1018">
        <v>0</v>
      </c>
      <c r="AH1018">
        <v>0</v>
      </c>
      <c r="AI1018">
        <v>2</v>
      </c>
      <c r="AJ1018">
        <v>0</v>
      </c>
      <c r="AK1018" t="s">
        <v>619</v>
      </c>
      <c r="AL1018">
        <v>31.921098000000001</v>
      </c>
      <c r="AM1018" t="s">
        <v>618</v>
      </c>
      <c r="AN1018">
        <v>-100.967038</v>
      </c>
      <c r="AQ1018" t="s">
        <v>129</v>
      </c>
      <c r="AR1018">
        <v>0</v>
      </c>
      <c r="AS1018">
        <v>-52</v>
      </c>
      <c r="AT1018">
        <v>-192</v>
      </c>
      <c r="BB1018" t="str">
        <f t="shared" si="115"/>
        <v>1200</v>
      </c>
      <c r="BC1018">
        <v>1</v>
      </c>
      <c r="BD1018" t="str">
        <f t="shared" si="117"/>
        <v xml:space="preserve">N745MB  </v>
      </c>
      <c r="BE1018">
        <v>1</v>
      </c>
      <c r="BG1018">
        <v>0</v>
      </c>
      <c r="BH1018">
        <v>0</v>
      </c>
      <c r="BI1018">
        <v>0</v>
      </c>
      <c r="BL1018" t="s">
        <v>130</v>
      </c>
      <c r="BM1018">
        <v>1</v>
      </c>
      <c r="BN1018">
        <v>0</v>
      </c>
      <c r="BO1018">
        <v>0</v>
      </c>
      <c r="BP1018">
        <v>0</v>
      </c>
      <c r="BT1018">
        <v>0</v>
      </c>
      <c r="BU1018">
        <v>0</v>
      </c>
      <c r="CE1018" t="str">
        <f>"20:26:43.313"</f>
        <v>20:26:43.313</v>
      </c>
      <c r="CF1018">
        <v>313315959</v>
      </c>
      <c r="CS1018">
        <v>0</v>
      </c>
      <c r="CT1018">
        <v>2</v>
      </c>
      <c r="CU1018">
        <v>0</v>
      </c>
      <c r="CV1018">
        <v>2</v>
      </c>
      <c r="CW1018">
        <v>0</v>
      </c>
      <c r="CX1018">
        <v>4</v>
      </c>
      <c r="CY1018">
        <v>7</v>
      </c>
      <c r="CZ1018" t="s">
        <v>131</v>
      </c>
      <c r="DA1018">
        <v>483</v>
      </c>
      <c r="DB1018">
        <v>1</v>
      </c>
      <c r="DC1018" t="s">
        <v>169</v>
      </c>
      <c r="DD1018" t="s">
        <v>170</v>
      </c>
      <c r="DG1018">
        <v>7382911</v>
      </c>
      <c r="DI1018">
        <v>0</v>
      </c>
      <c r="DJ1018">
        <v>0</v>
      </c>
      <c r="DK1018">
        <v>1</v>
      </c>
      <c r="DL1018">
        <v>0</v>
      </c>
      <c r="DM1018">
        <v>0</v>
      </c>
      <c r="DN1018">
        <v>0</v>
      </c>
      <c r="DO1018">
        <v>0</v>
      </c>
      <c r="DP1018">
        <v>1</v>
      </c>
      <c r="DQ1018">
        <v>0</v>
      </c>
      <c r="DR1018">
        <v>0</v>
      </c>
      <c r="DS1018">
        <v>0</v>
      </c>
    </row>
    <row r="1019" spans="1:123" x14ac:dyDescent="0.25">
      <c r="A1019" t="str">
        <f>"11/29/2023 20:26:46.743"</f>
        <v>11/29/2023 20:26:46.743</v>
      </c>
      <c r="C1019" t="str">
        <f t="shared" si="116"/>
        <v>FFDF53C0</v>
      </c>
      <c r="D1019" t="s">
        <v>164</v>
      </c>
      <c r="E1019">
        <v>24</v>
      </c>
      <c r="F1019">
        <v>2024</v>
      </c>
      <c r="G1019" t="s">
        <v>165</v>
      </c>
      <c r="J1019" t="s">
        <v>166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>"20:26:46.383"</f>
        <v>20:26:46.383</v>
      </c>
      <c r="T1019" t="str">
        <f>"20:26:46.183"</f>
        <v>20:26:46.183</v>
      </c>
      <c r="U1019" t="str">
        <f t="shared" si="114"/>
        <v>AA0632</v>
      </c>
      <c r="V1019">
        <v>0</v>
      </c>
      <c r="W1019">
        <v>0</v>
      </c>
      <c r="X1019">
        <v>2</v>
      </c>
      <c r="Y1019">
        <v>0</v>
      </c>
      <c r="AA1019">
        <v>0</v>
      </c>
      <c r="AB1019">
        <v>9</v>
      </c>
      <c r="AC1019">
        <v>3</v>
      </c>
      <c r="AD1019">
        <v>0</v>
      </c>
      <c r="AE1019">
        <v>10</v>
      </c>
      <c r="AF1019" t="s">
        <v>126</v>
      </c>
      <c r="AG1019">
        <v>0</v>
      </c>
      <c r="AH1019">
        <v>0</v>
      </c>
      <c r="AI1019">
        <v>2</v>
      </c>
      <c r="AJ1019">
        <v>0</v>
      </c>
      <c r="AK1019" t="s">
        <v>620</v>
      </c>
      <c r="AL1019">
        <v>31.920347</v>
      </c>
      <c r="AM1019" t="s">
        <v>621</v>
      </c>
      <c r="AN1019">
        <v>-100.967381</v>
      </c>
      <c r="AQ1019" t="s">
        <v>129</v>
      </c>
      <c r="AR1019">
        <v>-25</v>
      </c>
      <c r="AS1019">
        <v>-48</v>
      </c>
      <c r="AT1019">
        <v>0</v>
      </c>
      <c r="BB1019" t="str">
        <f t="shared" si="115"/>
        <v>1200</v>
      </c>
      <c r="BC1019">
        <v>1</v>
      </c>
      <c r="BD1019" t="str">
        <f t="shared" si="117"/>
        <v xml:space="preserve">N745MB  </v>
      </c>
      <c r="BE1019">
        <v>1</v>
      </c>
      <c r="BG1019">
        <v>0</v>
      </c>
      <c r="BH1019">
        <v>0</v>
      </c>
      <c r="BI1019">
        <v>0</v>
      </c>
      <c r="BL1019" t="s">
        <v>130</v>
      </c>
      <c r="BM1019">
        <v>1</v>
      </c>
      <c r="BN1019">
        <v>0</v>
      </c>
      <c r="BO1019">
        <v>0</v>
      </c>
      <c r="BP1019">
        <v>0</v>
      </c>
      <c r="BT1019">
        <v>0</v>
      </c>
      <c r="BU1019">
        <v>0</v>
      </c>
      <c r="CE1019" t="str">
        <f>"20:26:46.383"</f>
        <v>20:26:46.383</v>
      </c>
      <c r="CF1019">
        <v>383109236</v>
      </c>
      <c r="CS1019">
        <v>0</v>
      </c>
      <c r="CT1019">
        <v>2</v>
      </c>
      <c r="CU1019">
        <v>0</v>
      </c>
      <c r="CV1019">
        <v>2</v>
      </c>
      <c r="CW1019">
        <v>0</v>
      </c>
      <c r="CX1019">
        <v>4</v>
      </c>
      <c r="CY1019">
        <v>7</v>
      </c>
      <c r="CZ1019" t="s">
        <v>131</v>
      </c>
      <c r="DA1019">
        <v>483</v>
      </c>
      <c r="DB1019">
        <v>1</v>
      </c>
      <c r="DC1019" t="s">
        <v>169</v>
      </c>
      <c r="DD1019" t="s">
        <v>170</v>
      </c>
      <c r="DG1019">
        <v>7383327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1</v>
      </c>
      <c r="DQ1019">
        <v>0</v>
      </c>
      <c r="DR1019">
        <v>0</v>
      </c>
      <c r="DS1019">
        <v>0</v>
      </c>
    </row>
    <row r="1020" spans="1:123" x14ac:dyDescent="0.25">
      <c r="A1020" t="str">
        <f>"11/29/2023 20:26:46.743"</f>
        <v>11/29/2023 20:26:46.743</v>
      </c>
      <c r="C1020" t="str">
        <f t="shared" si="116"/>
        <v>FFDF53C0</v>
      </c>
      <c r="D1020" t="s">
        <v>123</v>
      </c>
      <c r="E1020">
        <v>14</v>
      </c>
      <c r="F1020">
        <v>1014</v>
      </c>
      <c r="G1020" t="s">
        <v>124</v>
      </c>
      <c r="J1020" t="s">
        <v>125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>"20:26:46.383"</f>
        <v>20:26:46.383</v>
      </c>
      <c r="T1020" t="str">
        <f>"20:26:46.183"</f>
        <v>20:26:46.183</v>
      </c>
      <c r="U1020" t="str">
        <f t="shared" si="114"/>
        <v>AA0632</v>
      </c>
      <c r="V1020">
        <v>0</v>
      </c>
      <c r="W1020">
        <v>0</v>
      </c>
      <c r="X1020">
        <v>2</v>
      </c>
      <c r="Y1020">
        <v>0</v>
      </c>
      <c r="AA1020">
        <v>0</v>
      </c>
      <c r="AB1020">
        <v>9</v>
      </c>
      <c r="AC1020">
        <v>3</v>
      </c>
      <c r="AD1020">
        <v>0</v>
      </c>
      <c r="AE1020">
        <v>10</v>
      </c>
      <c r="AF1020" t="s">
        <v>126</v>
      </c>
      <c r="AG1020">
        <v>0</v>
      </c>
      <c r="AH1020">
        <v>0</v>
      </c>
      <c r="AI1020">
        <v>2</v>
      </c>
      <c r="AJ1020">
        <v>0</v>
      </c>
      <c r="AK1020" t="s">
        <v>620</v>
      </c>
      <c r="AL1020">
        <v>31.920347</v>
      </c>
      <c r="AM1020" t="s">
        <v>621</v>
      </c>
      <c r="AN1020">
        <v>-100.967381</v>
      </c>
      <c r="AQ1020" t="s">
        <v>129</v>
      </c>
      <c r="AR1020">
        <v>-25</v>
      </c>
      <c r="AS1020">
        <v>-48</v>
      </c>
      <c r="AT1020">
        <v>0</v>
      </c>
      <c r="BB1020" t="str">
        <f t="shared" si="115"/>
        <v>1200</v>
      </c>
      <c r="BC1020">
        <v>1</v>
      </c>
      <c r="BD1020" t="str">
        <f t="shared" si="117"/>
        <v xml:space="preserve">N745MB  </v>
      </c>
      <c r="BE1020">
        <v>1</v>
      </c>
      <c r="BG1020">
        <v>0</v>
      </c>
      <c r="BH1020">
        <v>0</v>
      </c>
      <c r="BI1020">
        <v>0</v>
      </c>
      <c r="BL1020" t="s">
        <v>130</v>
      </c>
      <c r="BM1020">
        <v>1</v>
      </c>
      <c r="BN1020">
        <v>0</v>
      </c>
      <c r="BO1020">
        <v>0</v>
      </c>
      <c r="BP1020">
        <v>0</v>
      </c>
      <c r="BT1020">
        <v>0</v>
      </c>
      <c r="BU1020">
        <v>0</v>
      </c>
      <c r="CE1020" t="str">
        <f>"20:26:46.383"</f>
        <v>20:26:46.383</v>
      </c>
      <c r="CF1020">
        <v>383109236</v>
      </c>
      <c r="CS1020">
        <v>0</v>
      </c>
      <c r="CT1020">
        <v>2</v>
      </c>
      <c r="CU1020">
        <v>0</v>
      </c>
      <c r="CV1020">
        <v>2</v>
      </c>
      <c r="CW1020">
        <v>0</v>
      </c>
      <c r="CX1020">
        <v>4</v>
      </c>
      <c r="CY1020">
        <v>7</v>
      </c>
      <c r="CZ1020" t="s">
        <v>131</v>
      </c>
      <c r="DA1020">
        <v>483</v>
      </c>
      <c r="DB1020">
        <v>1</v>
      </c>
      <c r="DC1020" t="s">
        <v>169</v>
      </c>
      <c r="DD1020" t="s">
        <v>170</v>
      </c>
      <c r="DG1020">
        <v>7383327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1</v>
      </c>
      <c r="DQ1020">
        <v>0</v>
      </c>
      <c r="DR1020">
        <v>0</v>
      </c>
      <c r="DS1020">
        <v>0</v>
      </c>
    </row>
    <row r="1021" spans="1:123" x14ac:dyDescent="0.25">
      <c r="A1021" t="str">
        <f>"11/29/2023 20:26:46.743"</f>
        <v>11/29/2023 20:26:46.743</v>
      </c>
      <c r="C1021" t="str">
        <f t="shared" si="116"/>
        <v>FFDF53C0</v>
      </c>
      <c r="D1021" t="s">
        <v>138</v>
      </c>
      <c r="E1021">
        <v>3</v>
      </c>
      <c r="H1021">
        <v>160</v>
      </c>
      <c r="I1021" t="s">
        <v>124</v>
      </c>
      <c r="J1021" t="s">
        <v>139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>"20:26:46.383"</f>
        <v>20:26:46.383</v>
      </c>
      <c r="T1021" t="str">
        <f>"20:26:46.183"</f>
        <v>20:26:46.183</v>
      </c>
      <c r="U1021" t="str">
        <f t="shared" si="114"/>
        <v>AA0632</v>
      </c>
      <c r="V1021">
        <v>0</v>
      </c>
      <c r="W1021">
        <v>0</v>
      </c>
      <c r="X1021">
        <v>2</v>
      </c>
      <c r="Y1021">
        <v>0</v>
      </c>
      <c r="AA1021">
        <v>0</v>
      </c>
      <c r="AB1021">
        <v>9</v>
      </c>
      <c r="AC1021">
        <v>3</v>
      </c>
      <c r="AD1021">
        <v>0</v>
      </c>
      <c r="AE1021">
        <v>10</v>
      </c>
      <c r="AF1021" t="s">
        <v>126</v>
      </c>
      <c r="AG1021">
        <v>0</v>
      </c>
      <c r="AH1021">
        <v>0</v>
      </c>
      <c r="AI1021">
        <v>2</v>
      </c>
      <c r="AJ1021">
        <v>0</v>
      </c>
      <c r="AK1021" t="s">
        <v>620</v>
      </c>
      <c r="AL1021">
        <v>31.920347</v>
      </c>
      <c r="AM1021" t="s">
        <v>621</v>
      </c>
      <c r="AN1021">
        <v>-100.967381</v>
      </c>
      <c r="AQ1021" t="s">
        <v>129</v>
      </c>
      <c r="AR1021">
        <v>-25</v>
      </c>
      <c r="AS1021">
        <v>-48</v>
      </c>
      <c r="AT1021">
        <v>0</v>
      </c>
      <c r="BB1021" t="str">
        <f t="shared" si="115"/>
        <v>1200</v>
      </c>
      <c r="BC1021">
        <v>1</v>
      </c>
      <c r="BD1021" t="str">
        <f t="shared" si="117"/>
        <v xml:space="preserve">N745MB  </v>
      </c>
      <c r="BE1021">
        <v>1</v>
      </c>
      <c r="BG1021">
        <v>0</v>
      </c>
      <c r="BH1021">
        <v>0</v>
      </c>
      <c r="BI1021">
        <v>0</v>
      </c>
      <c r="BL1021" t="s">
        <v>130</v>
      </c>
      <c r="BM1021">
        <v>1</v>
      </c>
      <c r="BN1021">
        <v>0</v>
      </c>
      <c r="BO1021">
        <v>0</v>
      </c>
      <c r="BP1021">
        <v>0</v>
      </c>
      <c r="BT1021">
        <v>0</v>
      </c>
      <c r="BU1021">
        <v>0</v>
      </c>
      <c r="CE1021" t="str">
        <f>"20:26:46.383"</f>
        <v>20:26:46.383</v>
      </c>
      <c r="CF1021">
        <v>383109236</v>
      </c>
      <c r="CS1021">
        <v>0</v>
      </c>
      <c r="CT1021">
        <v>2</v>
      </c>
      <c r="CU1021">
        <v>0</v>
      </c>
      <c r="CV1021">
        <v>2</v>
      </c>
      <c r="CW1021">
        <v>0</v>
      </c>
      <c r="CX1021">
        <v>4</v>
      </c>
      <c r="CY1021">
        <v>7</v>
      </c>
      <c r="CZ1021" t="s">
        <v>131</v>
      </c>
      <c r="DA1021">
        <v>483</v>
      </c>
      <c r="DB1021">
        <v>1</v>
      </c>
      <c r="DC1021" t="s">
        <v>169</v>
      </c>
      <c r="DD1021" t="s">
        <v>170</v>
      </c>
      <c r="DG1021">
        <v>7383327</v>
      </c>
      <c r="DI1021">
        <v>0</v>
      </c>
      <c r="DJ1021">
        <v>0</v>
      </c>
      <c r="DK1021">
        <v>1</v>
      </c>
      <c r="DL1021">
        <v>0</v>
      </c>
      <c r="DM1021">
        <v>0</v>
      </c>
      <c r="DN1021">
        <v>0</v>
      </c>
      <c r="DO1021">
        <v>0</v>
      </c>
      <c r="DP1021">
        <v>1</v>
      </c>
      <c r="DQ1021">
        <v>0</v>
      </c>
      <c r="DR1021">
        <v>0</v>
      </c>
      <c r="DS1021">
        <v>0</v>
      </c>
    </row>
    <row r="1022" spans="1:123" x14ac:dyDescent="0.25">
      <c r="A1022" t="str">
        <f>"11/29/2023 20:26:47.696"</f>
        <v>11/29/2023 20:26:47.696</v>
      </c>
      <c r="C1022" t="str">
        <f t="shared" si="116"/>
        <v>FFDF53C0</v>
      </c>
      <c r="D1022" t="s">
        <v>164</v>
      </c>
      <c r="E1022">
        <v>24</v>
      </c>
      <c r="F1022">
        <v>2024</v>
      </c>
      <c r="G1022" t="s">
        <v>165</v>
      </c>
      <c r="J1022" t="s">
        <v>166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>"20:26:47.313"</f>
        <v>20:26:47.313</v>
      </c>
      <c r="T1022" t="str">
        <f>"20:26:47.212"</f>
        <v>20:26:47.212</v>
      </c>
      <c r="U1022" t="str">
        <f t="shared" si="114"/>
        <v>AA0632</v>
      </c>
      <c r="V1022">
        <v>0</v>
      </c>
      <c r="W1022">
        <v>0</v>
      </c>
      <c r="X1022">
        <v>2</v>
      </c>
      <c r="Y1022">
        <v>0</v>
      </c>
      <c r="AA1022">
        <v>0</v>
      </c>
      <c r="AB1022">
        <v>9</v>
      </c>
      <c r="AC1022">
        <v>3</v>
      </c>
      <c r="AD1022">
        <v>0</v>
      </c>
      <c r="AE1022">
        <v>10</v>
      </c>
      <c r="AF1022" t="s">
        <v>126</v>
      </c>
      <c r="AG1022">
        <v>0</v>
      </c>
      <c r="AH1022">
        <v>0</v>
      </c>
      <c r="AI1022">
        <v>2</v>
      </c>
      <c r="AJ1022">
        <v>0</v>
      </c>
      <c r="AK1022" t="s">
        <v>622</v>
      </c>
      <c r="AL1022">
        <v>31.920176000000001</v>
      </c>
      <c r="AM1022" t="s">
        <v>623</v>
      </c>
      <c r="AN1022">
        <v>-100.967553</v>
      </c>
      <c r="AQ1022" t="s">
        <v>129</v>
      </c>
      <c r="AR1022">
        <v>-31</v>
      </c>
      <c r="AS1022">
        <v>-45</v>
      </c>
      <c r="AT1022">
        <v>64</v>
      </c>
      <c r="BB1022" t="str">
        <f t="shared" si="115"/>
        <v>1200</v>
      </c>
      <c r="BC1022">
        <v>1</v>
      </c>
      <c r="BD1022" t="str">
        <f t="shared" si="117"/>
        <v xml:space="preserve">N745MB  </v>
      </c>
      <c r="BE1022">
        <v>1</v>
      </c>
      <c r="BG1022">
        <v>0</v>
      </c>
      <c r="BH1022">
        <v>0</v>
      </c>
      <c r="BI1022">
        <v>0</v>
      </c>
      <c r="BL1022" t="s">
        <v>130</v>
      </c>
      <c r="BM1022">
        <v>1</v>
      </c>
      <c r="BN1022">
        <v>0</v>
      </c>
      <c r="BO1022">
        <v>0</v>
      </c>
      <c r="BP1022">
        <v>0</v>
      </c>
      <c r="BT1022">
        <v>0</v>
      </c>
      <c r="BU1022">
        <v>0</v>
      </c>
      <c r="CE1022" t="str">
        <f>"20:26:47.315"</f>
        <v>20:26:47.315</v>
      </c>
      <c r="CF1022">
        <v>315049127</v>
      </c>
      <c r="CS1022">
        <v>0</v>
      </c>
      <c r="CT1022">
        <v>2</v>
      </c>
      <c r="CU1022">
        <v>0</v>
      </c>
      <c r="CV1022">
        <v>2</v>
      </c>
      <c r="CW1022">
        <v>0</v>
      </c>
      <c r="CX1022">
        <v>4</v>
      </c>
      <c r="CY1022">
        <v>7</v>
      </c>
      <c r="CZ1022" t="s">
        <v>131</v>
      </c>
      <c r="DA1022">
        <v>483</v>
      </c>
      <c r="DB1022">
        <v>0</v>
      </c>
      <c r="DC1022" t="s">
        <v>169</v>
      </c>
      <c r="DD1022" t="s">
        <v>170</v>
      </c>
      <c r="DG1022">
        <v>7383460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1</v>
      </c>
      <c r="DQ1022">
        <v>0</v>
      </c>
      <c r="DR1022">
        <v>0</v>
      </c>
      <c r="DS1022">
        <v>0</v>
      </c>
    </row>
    <row r="1023" spans="1:123" x14ac:dyDescent="0.25">
      <c r="A1023" t="str">
        <f>"11/29/2023 20:26:47.743"</f>
        <v>11/29/2023 20:26:47.743</v>
      </c>
      <c r="C1023" t="str">
        <f t="shared" si="116"/>
        <v>FFDF53C0</v>
      </c>
      <c r="D1023" t="s">
        <v>123</v>
      </c>
      <c r="E1023">
        <v>14</v>
      </c>
      <c r="F1023">
        <v>1014</v>
      </c>
      <c r="G1023" t="s">
        <v>124</v>
      </c>
      <c r="J1023" t="s">
        <v>125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>"20:26:47.313"</f>
        <v>20:26:47.313</v>
      </c>
      <c r="T1023" t="str">
        <f>"20:26:47.212"</f>
        <v>20:26:47.212</v>
      </c>
      <c r="U1023" t="str">
        <f t="shared" si="114"/>
        <v>AA0632</v>
      </c>
      <c r="V1023">
        <v>0</v>
      </c>
      <c r="W1023">
        <v>0</v>
      </c>
      <c r="X1023">
        <v>2</v>
      </c>
      <c r="Y1023">
        <v>0</v>
      </c>
      <c r="AA1023">
        <v>0</v>
      </c>
      <c r="AB1023">
        <v>9</v>
      </c>
      <c r="AC1023">
        <v>3</v>
      </c>
      <c r="AD1023">
        <v>0</v>
      </c>
      <c r="AE1023">
        <v>10</v>
      </c>
      <c r="AF1023" t="s">
        <v>126</v>
      </c>
      <c r="AG1023">
        <v>0</v>
      </c>
      <c r="AH1023">
        <v>0</v>
      </c>
      <c r="AI1023">
        <v>2</v>
      </c>
      <c r="AJ1023">
        <v>0</v>
      </c>
      <c r="AK1023" t="s">
        <v>622</v>
      </c>
      <c r="AL1023">
        <v>31.920176000000001</v>
      </c>
      <c r="AM1023" t="s">
        <v>623</v>
      </c>
      <c r="AN1023">
        <v>-100.967553</v>
      </c>
      <c r="AQ1023" t="s">
        <v>129</v>
      </c>
      <c r="AR1023">
        <v>-31</v>
      </c>
      <c r="AS1023">
        <v>-45</v>
      </c>
      <c r="AT1023">
        <v>64</v>
      </c>
      <c r="BB1023" t="str">
        <f t="shared" si="115"/>
        <v>1200</v>
      </c>
      <c r="BC1023">
        <v>1</v>
      </c>
      <c r="BD1023" t="str">
        <f t="shared" si="117"/>
        <v xml:space="preserve">N745MB  </v>
      </c>
      <c r="BE1023">
        <v>1</v>
      </c>
      <c r="BG1023">
        <v>0</v>
      </c>
      <c r="BH1023">
        <v>0</v>
      </c>
      <c r="BI1023">
        <v>0</v>
      </c>
      <c r="BL1023" t="s">
        <v>130</v>
      </c>
      <c r="BM1023">
        <v>1</v>
      </c>
      <c r="BN1023">
        <v>0</v>
      </c>
      <c r="BO1023">
        <v>0</v>
      </c>
      <c r="BP1023">
        <v>0</v>
      </c>
      <c r="BT1023">
        <v>0</v>
      </c>
      <c r="BU1023">
        <v>0</v>
      </c>
      <c r="CE1023" t="str">
        <f>"20:26:47.315"</f>
        <v>20:26:47.315</v>
      </c>
      <c r="CF1023">
        <v>315049127</v>
      </c>
      <c r="CS1023">
        <v>0</v>
      </c>
      <c r="CT1023">
        <v>2</v>
      </c>
      <c r="CU1023">
        <v>0</v>
      </c>
      <c r="CV1023">
        <v>2</v>
      </c>
      <c r="CW1023">
        <v>0</v>
      </c>
      <c r="CX1023">
        <v>4</v>
      </c>
      <c r="CY1023">
        <v>7</v>
      </c>
      <c r="CZ1023" t="s">
        <v>131</v>
      </c>
      <c r="DA1023">
        <v>483</v>
      </c>
      <c r="DB1023">
        <v>0</v>
      </c>
      <c r="DC1023" t="s">
        <v>169</v>
      </c>
      <c r="DD1023" t="s">
        <v>170</v>
      </c>
      <c r="DG1023">
        <v>7383460</v>
      </c>
      <c r="DI1023">
        <v>0</v>
      </c>
      <c r="DJ1023">
        <v>0</v>
      </c>
      <c r="DK1023">
        <v>1</v>
      </c>
      <c r="DL1023">
        <v>0</v>
      </c>
      <c r="DM1023">
        <v>0</v>
      </c>
      <c r="DN1023">
        <v>0</v>
      </c>
      <c r="DO1023">
        <v>0</v>
      </c>
      <c r="DP1023">
        <v>1</v>
      </c>
      <c r="DQ1023">
        <v>0</v>
      </c>
      <c r="DR1023">
        <v>0</v>
      </c>
      <c r="DS1023">
        <v>0</v>
      </c>
    </row>
    <row r="1024" spans="1:123" x14ac:dyDescent="0.25">
      <c r="A1024" t="str">
        <f>"11/29/2023 20:26:47.743"</f>
        <v>11/29/2023 20:26:47.743</v>
      </c>
      <c r="C1024" t="str">
        <f t="shared" si="116"/>
        <v>FFDF53C0</v>
      </c>
      <c r="D1024" t="s">
        <v>138</v>
      </c>
      <c r="E1024">
        <v>3</v>
      </c>
      <c r="H1024">
        <v>160</v>
      </c>
      <c r="I1024" t="s">
        <v>124</v>
      </c>
      <c r="J1024" t="s">
        <v>139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>"20:26:47.313"</f>
        <v>20:26:47.313</v>
      </c>
      <c r="T1024" t="str">
        <f>"20:26:47.212"</f>
        <v>20:26:47.212</v>
      </c>
      <c r="U1024" t="str">
        <f t="shared" si="114"/>
        <v>AA0632</v>
      </c>
      <c r="V1024">
        <v>0</v>
      </c>
      <c r="W1024">
        <v>0</v>
      </c>
      <c r="X1024">
        <v>2</v>
      </c>
      <c r="Y1024">
        <v>0</v>
      </c>
      <c r="AA1024">
        <v>0</v>
      </c>
      <c r="AB1024">
        <v>9</v>
      </c>
      <c r="AC1024">
        <v>3</v>
      </c>
      <c r="AD1024">
        <v>0</v>
      </c>
      <c r="AE1024">
        <v>10</v>
      </c>
      <c r="AF1024" t="s">
        <v>126</v>
      </c>
      <c r="AG1024">
        <v>0</v>
      </c>
      <c r="AH1024">
        <v>0</v>
      </c>
      <c r="AI1024">
        <v>2</v>
      </c>
      <c r="AJ1024">
        <v>0</v>
      </c>
      <c r="AK1024" t="s">
        <v>622</v>
      </c>
      <c r="AL1024">
        <v>31.920176000000001</v>
      </c>
      <c r="AM1024" t="s">
        <v>623</v>
      </c>
      <c r="AN1024">
        <v>-100.967553</v>
      </c>
      <c r="AQ1024" t="s">
        <v>129</v>
      </c>
      <c r="AR1024">
        <v>-31</v>
      </c>
      <c r="AS1024">
        <v>-45</v>
      </c>
      <c r="AT1024">
        <v>64</v>
      </c>
      <c r="BB1024" t="str">
        <f t="shared" si="115"/>
        <v>1200</v>
      </c>
      <c r="BC1024">
        <v>1</v>
      </c>
      <c r="BD1024" t="str">
        <f t="shared" si="117"/>
        <v xml:space="preserve">N745MB  </v>
      </c>
      <c r="BE1024">
        <v>1</v>
      </c>
      <c r="BG1024">
        <v>0</v>
      </c>
      <c r="BH1024">
        <v>0</v>
      </c>
      <c r="BI1024">
        <v>0</v>
      </c>
      <c r="BL1024" t="s">
        <v>130</v>
      </c>
      <c r="BM1024">
        <v>1</v>
      </c>
      <c r="BN1024">
        <v>0</v>
      </c>
      <c r="BO1024">
        <v>0</v>
      </c>
      <c r="BP1024">
        <v>0</v>
      </c>
      <c r="BT1024">
        <v>0</v>
      </c>
      <c r="BU1024">
        <v>0</v>
      </c>
      <c r="CE1024" t="str">
        <f>"20:26:47.315"</f>
        <v>20:26:47.315</v>
      </c>
      <c r="CF1024">
        <v>315049127</v>
      </c>
      <c r="CS1024">
        <v>0</v>
      </c>
      <c r="CT1024">
        <v>2</v>
      </c>
      <c r="CU1024">
        <v>0</v>
      </c>
      <c r="CV1024">
        <v>2</v>
      </c>
      <c r="CW1024">
        <v>0</v>
      </c>
      <c r="CX1024">
        <v>4</v>
      </c>
      <c r="CY1024">
        <v>7</v>
      </c>
      <c r="CZ1024" t="s">
        <v>131</v>
      </c>
      <c r="DA1024">
        <v>483</v>
      </c>
      <c r="DB1024">
        <v>0</v>
      </c>
      <c r="DC1024" t="s">
        <v>169</v>
      </c>
      <c r="DD1024" t="s">
        <v>170</v>
      </c>
      <c r="DG1024">
        <v>7383460</v>
      </c>
      <c r="DI1024">
        <v>0</v>
      </c>
      <c r="DJ1024">
        <v>0</v>
      </c>
      <c r="DK1024">
        <v>1</v>
      </c>
      <c r="DL1024">
        <v>0</v>
      </c>
      <c r="DM1024">
        <v>0</v>
      </c>
      <c r="DN1024">
        <v>0</v>
      </c>
      <c r="DO1024">
        <v>0</v>
      </c>
      <c r="DP1024">
        <v>1</v>
      </c>
      <c r="DQ1024">
        <v>0</v>
      </c>
      <c r="DR1024">
        <v>0</v>
      </c>
      <c r="DS1024">
        <v>0</v>
      </c>
    </row>
    <row r="1025" spans="1:123" x14ac:dyDescent="0.25">
      <c r="A1025" t="str">
        <f>"11/29/2023 20:26:48.774"</f>
        <v>11/29/2023 20:26:48.774</v>
      </c>
      <c r="C1025" t="str">
        <f t="shared" si="116"/>
        <v>FFDF53C0</v>
      </c>
      <c r="D1025" t="s">
        <v>123</v>
      </c>
      <c r="E1025">
        <v>1</v>
      </c>
      <c r="F1025">
        <v>1001</v>
      </c>
      <c r="G1025" t="s">
        <v>134</v>
      </c>
      <c r="J1025" t="s">
        <v>125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>"20:26:48.352"</f>
        <v>20:26:48.352</v>
      </c>
      <c r="T1025" t="str">
        <f>"20:26:48.252"</f>
        <v>20:26:48.252</v>
      </c>
      <c r="U1025" t="str">
        <f t="shared" si="114"/>
        <v>AA0632</v>
      </c>
      <c r="V1025">
        <v>0</v>
      </c>
      <c r="W1025">
        <v>0</v>
      </c>
      <c r="X1025">
        <v>2</v>
      </c>
      <c r="Y1025">
        <v>0</v>
      </c>
      <c r="AA1025">
        <v>0</v>
      </c>
      <c r="AB1025">
        <v>9</v>
      </c>
      <c r="AC1025">
        <v>3</v>
      </c>
      <c r="AD1025">
        <v>0</v>
      </c>
      <c r="AE1025">
        <v>10</v>
      </c>
      <c r="AF1025" t="s">
        <v>126</v>
      </c>
      <c r="AG1025">
        <v>0</v>
      </c>
      <c r="AH1025">
        <v>0</v>
      </c>
      <c r="AI1025">
        <v>2</v>
      </c>
      <c r="AJ1025">
        <v>0</v>
      </c>
      <c r="AK1025" t="s">
        <v>624</v>
      </c>
      <c r="AL1025">
        <v>31.919982000000001</v>
      </c>
      <c r="AM1025" t="s">
        <v>625</v>
      </c>
      <c r="AN1025">
        <v>-100.967724</v>
      </c>
      <c r="AQ1025" t="s">
        <v>129</v>
      </c>
      <c r="AR1025">
        <v>-36</v>
      </c>
      <c r="AS1025">
        <v>-41</v>
      </c>
      <c r="AT1025">
        <v>-64</v>
      </c>
      <c r="BB1025" t="str">
        <f t="shared" si="115"/>
        <v>1200</v>
      </c>
      <c r="BC1025">
        <v>1</v>
      </c>
      <c r="BD1025" t="str">
        <f t="shared" si="117"/>
        <v xml:space="preserve">N745MB  </v>
      </c>
      <c r="BE1025">
        <v>1</v>
      </c>
      <c r="BG1025">
        <v>0</v>
      </c>
      <c r="BH1025">
        <v>0</v>
      </c>
      <c r="BI1025">
        <v>0</v>
      </c>
      <c r="BL1025" t="s">
        <v>130</v>
      </c>
      <c r="BM1025">
        <v>1</v>
      </c>
      <c r="BN1025">
        <v>0</v>
      </c>
      <c r="BO1025">
        <v>0</v>
      </c>
      <c r="BP1025">
        <v>0</v>
      </c>
      <c r="BT1025">
        <v>0</v>
      </c>
      <c r="BU1025">
        <v>0</v>
      </c>
      <c r="CE1025" t="str">
        <f>"20:26:48.357"</f>
        <v>20:26:48.357</v>
      </c>
      <c r="CF1025">
        <v>356975338</v>
      </c>
      <c r="CS1025">
        <v>0</v>
      </c>
      <c r="CT1025">
        <v>2</v>
      </c>
      <c r="CU1025">
        <v>0</v>
      </c>
      <c r="CV1025">
        <v>2</v>
      </c>
      <c r="CW1025">
        <v>0</v>
      </c>
      <c r="CX1025">
        <v>5</v>
      </c>
      <c r="CY1025">
        <v>7</v>
      </c>
      <c r="CZ1025" t="s">
        <v>131</v>
      </c>
      <c r="DA1025">
        <v>116</v>
      </c>
      <c r="DB1025">
        <v>3</v>
      </c>
      <c r="DC1025" t="s">
        <v>132</v>
      </c>
      <c r="DD1025" t="s">
        <v>133</v>
      </c>
      <c r="DG1025">
        <v>8440162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1</v>
      </c>
      <c r="DQ1025">
        <v>0</v>
      </c>
      <c r="DR1025">
        <v>0</v>
      </c>
      <c r="DS1025">
        <v>0</v>
      </c>
    </row>
    <row r="1026" spans="1:123" x14ac:dyDescent="0.25">
      <c r="A1026" t="str">
        <f>"11/29/2023 20:26:48.774"</f>
        <v>11/29/2023 20:26:48.774</v>
      </c>
      <c r="C1026" t="str">
        <f t="shared" si="116"/>
        <v>FFDF53C0</v>
      </c>
      <c r="D1026" t="s">
        <v>138</v>
      </c>
      <c r="E1026">
        <v>3</v>
      </c>
      <c r="H1026">
        <v>160</v>
      </c>
      <c r="I1026" t="s">
        <v>124</v>
      </c>
      <c r="J1026" t="s">
        <v>139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>"20:26:48.352"</f>
        <v>20:26:48.352</v>
      </c>
      <c r="T1026" t="str">
        <f>"20:26:48.252"</f>
        <v>20:26:48.252</v>
      </c>
      <c r="U1026" t="str">
        <f t="shared" ref="U1026:U1089" si="119">"AA0632"</f>
        <v>AA0632</v>
      </c>
      <c r="V1026">
        <v>0</v>
      </c>
      <c r="W1026">
        <v>0</v>
      </c>
      <c r="X1026">
        <v>2</v>
      </c>
      <c r="Y1026">
        <v>0</v>
      </c>
      <c r="AA1026">
        <v>0</v>
      </c>
      <c r="AB1026">
        <v>9</v>
      </c>
      <c r="AC1026">
        <v>3</v>
      </c>
      <c r="AD1026">
        <v>0</v>
      </c>
      <c r="AE1026">
        <v>10</v>
      </c>
      <c r="AF1026" t="s">
        <v>126</v>
      </c>
      <c r="AG1026">
        <v>0</v>
      </c>
      <c r="AH1026">
        <v>0</v>
      </c>
      <c r="AI1026">
        <v>2</v>
      </c>
      <c r="AJ1026">
        <v>0</v>
      </c>
      <c r="AK1026" t="s">
        <v>624</v>
      </c>
      <c r="AL1026">
        <v>31.919982000000001</v>
      </c>
      <c r="AM1026" t="s">
        <v>625</v>
      </c>
      <c r="AN1026">
        <v>-100.967724</v>
      </c>
      <c r="AQ1026" t="s">
        <v>129</v>
      </c>
      <c r="AR1026">
        <v>-36</v>
      </c>
      <c r="AS1026">
        <v>-41</v>
      </c>
      <c r="AT1026">
        <v>-64</v>
      </c>
      <c r="BB1026" t="str">
        <f t="shared" ref="BB1026:BB1089" si="120">"1200"</f>
        <v>1200</v>
      </c>
      <c r="BC1026">
        <v>1</v>
      </c>
      <c r="BD1026" t="str">
        <f t="shared" si="117"/>
        <v xml:space="preserve">N745MB  </v>
      </c>
      <c r="BE1026">
        <v>1</v>
      </c>
      <c r="BG1026">
        <v>0</v>
      </c>
      <c r="BH1026">
        <v>0</v>
      </c>
      <c r="BI1026">
        <v>0</v>
      </c>
      <c r="BL1026" t="s">
        <v>130</v>
      </c>
      <c r="BM1026">
        <v>1</v>
      </c>
      <c r="BN1026">
        <v>0</v>
      </c>
      <c r="BO1026">
        <v>0</v>
      </c>
      <c r="BP1026">
        <v>0</v>
      </c>
      <c r="BT1026">
        <v>0</v>
      </c>
      <c r="BU1026">
        <v>0</v>
      </c>
      <c r="CE1026" t="str">
        <f>"20:26:48.357"</f>
        <v>20:26:48.357</v>
      </c>
      <c r="CF1026">
        <v>356975338</v>
      </c>
      <c r="CS1026">
        <v>0</v>
      </c>
      <c r="CT1026">
        <v>2</v>
      </c>
      <c r="CU1026">
        <v>0</v>
      </c>
      <c r="CV1026">
        <v>2</v>
      </c>
      <c r="CW1026">
        <v>0</v>
      </c>
      <c r="CX1026">
        <v>5</v>
      </c>
      <c r="CY1026">
        <v>7</v>
      </c>
      <c r="CZ1026" t="s">
        <v>131</v>
      </c>
      <c r="DA1026">
        <v>116</v>
      </c>
      <c r="DB1026">
        <v>3</v>
      </c>
      <c r="DC1026" t="s">
        <v>132</v>
      </c>
      <c r="DD1026" t="s">
        <v>133</v>
      </c>
      <c r="DG1026">
        <v>8440162</v>
      </c>
      <c r="DI1026">
        <v>0</v>
      </c>
      <c r="DJ1026">
        <v>0</v>
      </c>
      <c r="DK1026">
        <v>1</v>
      </c>
      <c r="DL1026">
        <v>0</v>
      </c>
      <c r="DM1026">
        <v>0</v>
      </c>
      <c r="DN1026">
        <v>0</v>
      </c>
      <c r="DO1026">
        <v>0</v>
      </c>
      <c r="DP1026">
        <v>1</v>
      </c>
      <c r="DQ1026">
        <v>0</v>
      </c>
      <c r="DR1026">
        <v>0</v>
      </c>
      <c r="DS1026">
        <v>0</v>
      </c>
    </row>
    <row r="1027" spans="1:123" x14ac:dyDescent="0.25">
      <c r="A1027" t="str">
        <f>"11/29/2023 20:26:49.790"</f>
        <v>11/29/2023 20:26:49.790</v>
      </c>
      <c r="C1027" t="str">
        <f t="shared" si="116"/>
        <v>FFDF53C0</v>
      </c>
      <c r="D1027" t="s">
        <v>164</v>
      </c>
      <c r="E1027">
        <v>24</v>
      </c>
      <c r="F1027">
        <v>2024</v>
      </c>
      <c r="G1027" t="s">
        <v>165</v>
      </c>
      <c r="J1027" t="s">
        <v>166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 t="shared" ref="S1027:T1029" si="121">"20:26:49.344"</f>
        <v>20:26:49.344</v>
      </c>
      <c r="T1027" t="str">
        <f t="shared" si="121"/>
        <v>20:26:49.344</v>
      </c>
      <c r="U1027" t="str">
        <f t="shared" si="119"/>
        <v>AA0632</v>
      </c>
      <c r="V1027">
        <v>0</v>
      </c>
      <c r="W1027">
        <v>0</v>
      </c>
      <c r="X1027">
        <v>2</v>
      </c>
      <c r="Y1027">
        <v>0</v>
      </c>
      <c r="AA1027">
        <v>0</v>
      </c>
      <c r="AB1027">
        <v>9</v>
      </c>
      <c r="AC1027">
        <v>3</v>
      </c>
      <c r="AD1027">
        <v>0</v>
      </c>
      <c r="AE1027">
        <v>10</v>
      </c>
      <c r="AF1027" t="s">
        <v>126</v>
      </c>
      <c r="AG1027">
        <v>0</v>
      </c>
      <c r="AH1027">
        <v>0</v>
      </c>
      <c r="AI1027">
        <v>2</v>
      </c>
      <c r="AJ1027">
        <v>0</v>
      </c>
      <c r="AK1027" t="s">
        <v>626</v>
      </c>
      <c r="AL1027">
        <v>31.919854000000001</v>
      </c>
      <c r="AM1027" t="s">
        <v>627</v>
      </c>
      <c r="AN1027">
        <v>-100.967939</v>
      </c>
      <c r="AQ1027" t="s">
        <v>129</v>
      </c>
      <c r="AR1027">
        <v>-41</v>
      </c>
      <c r="AS1027">
        <v>-37</v>
      </c>
      <c r="AT1027">
        <v>0</v>
      </c>
      <c r="BB1027" t="str">
        <f t="shared" si="120"/>
        <v>1200</v>
      </c>
      <c r="BC1027">
        <v>1</v>
      </c>
      <c r="BD1027" t="str">
        <f t="shared" si="117"/>
        <v xml:space="preserve">N745MB  </v>
      </c>
      <c r="BE1027">
        <v>1</v>
      </c>
      <c r="BG1027">
        <v>0</v>
      </c>
      <c r="BH1027">
        <v>0</v>
      </c>
      <c r="BI1027">
        <v>0</v>
      </c>
      <c r="BL1027" t="s">
        <v>130</v>
      </c>
      <c r="BM1027">
        <v>1</v>
      </c>
      <c r="BN1027">
        <v>0</v>
      </c>
      <c r="BO1027">
        <v>0</v>
      </c>
      <c r="BP1027">
        <v>0</v>
      </c>
      <c r="BT1027">
        <v>0</v>
      </c>
      <c r="BU1027">
        <v>0</v>
      </c>
      <c r="CE1027" t="str">
        <f>"20:26:49.345"</f>
        <v>20:26:49.345</v>
      </c>
      <c r="CF1027">
        <v>344934857</v>
      </c>
      <c r="CS1027">
        <v>0</v>
      </c>
      <c r="CT1027">
        <v>2</v>
      </c>
      <c r="CU1027">
        <v>0</v>
      </c>
      <c r="CV1027">
        <v>2</v>
      </c>
      <c r="CW1027">
        <v>0</v>
      </c>
      <c r="CX1027">
        <v>2</v>
      </c>
      <c r="CY1027">
        <v>7</v>
      </c>
      <c r="CZ1027" t="s">
        <v>131</v>
      </c>
      <c r="DA1027">
        <v>483</v>
      </c>
      <c r="DB1027">
        <v>1</v>
      </c>
      <c r="DC1027" t="s">
        <v>169</v>
      </c>
      <c r="DD1027" t="s">
        <v>170</v>
      </c>
      <c r="DG1027">
        <v>7383737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1</v>
      </c>
      <c r="DQ1027">
        <v>0</v>
      </c>
      <c r="DR1027">
        <v>0</v>
      </c>
      <c r="DS1027">
        <v>0</v>
      </c>
    </row>
    <row r="1028" spans="1:123" x14ac:dyDescent="0.25">
      <c r="A1028" t="str">
        <f>"11/29/2023 20:26:49.837"</f>
        <v>11/29/2023 20:26:49.837</v>
      </c>
      <c r="C1028" t="str">
        <f t="shared" si="116"/>
        <v>FFDF53C0</v>
      </c>
      <c r="D1028" t="s">
        <v>123</v>
      </c>
      <c r="E1028">
        <v>14</v>
      </c>
      <c r="F1028">
        <v>1014</v>
      </c>
      <c r="G1028" t="s">
        <v>124</v>
      </c>
      <c r="J1028" t="s">
        <v>125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 t="shared" si="121"/>
        <v>20:26:49.344</v>
      </c>
      <c r="T1028" t="str">
        <f t="shared" si="121"/>
        <v>20:26:49.344</v>
      </c>
      <c r="U1028" t="str">
        <f t="shared" si="119"/>
        <v>AA0632</v>
      </c>
      <c r="V1028">
        <v>0</v>
      </c>
      <c r="W1028">
        <v>0</v>
      </c>
      <c r="X1028">
        <v>2</v>
      </c>
      <c r="Y1028">
        <v>0</v>
      </c>
      <c r="AA1028">
        <v>0</v>
      </c>
      <c r="AB1028">
        <v>9</v>
      </c>
      <c r="AC1028">
        <v>3</v>
      </c>
      <c r="AD1028">
        <v>0</v>
      </c>
      <c r="AE1028">
        <v>10</v>
      </c>
      <c r="AF1028" t="s">
        <v>126</v>
      </c>
      <c r="AG1028">
        <v>0</v>
      </c>
      <c r="AH1028">
        <v>0</v>
      </c>
      <c r="AI1028">
        <v>2</v>
      </c>
      <c r="AJ1028">
        <v>0</v>
      </c>
      <c r="AK1028" t="s">
        <v>626</v>
      </c>
      <c r="AL1028">
        <v>31.919854000000001</v>
      </c>
      <c r="AM1028" t="s">
        <v>627</v>
      </c>
      <c r="AN1028">
        <v>-100.967939</v>
      </c>
      <c r="AQ1028" t="s">
        <v>129</v>
      </c>
      <c r="AR1028">
        <v>-41</v>
      </c>
      <c r="AS1028">
        <v>-37</v>
      </c>
      <c r="AT1028">
        <v>0</v>
      </c>
      <c r="BB1028" t="str">
        <f t="shared" si="120"/>
        <v>1200</v>
      </c>
      <c r="BC1028">
        <v>1</v>
      </c>
      <c r="BD1028" t="str">
        <f t="shared" si="117"/>
        <v xml:space="preserve">N745MB  </v>
      </c>
      <c r="BE1028">
        <v>1</v>
      </c>
      <c r="BG1028">
        <v>0</v>
      </c>
      <c r="BH1028">
        <v>0</v>
      </c>
      <c r="BI1028">
        <v>0</v>
      </c>
      <c r="BL1028" t="s">
        <v>130</v>
      </c>
      <c r="BM1028">
        <v>1</v>
      </c>
      <c r="BN1028">
        <v>0</v>
      </c>
      <c r="BO1028">
        <v>0</v>
      </c>
      <c r="BP1028">
        <v>0</v>
      </c>
      <c r="BT1028">
        <v>0</v>
      </c>
      <c r="BU1028">
        <v>0</v>
      </c>
      <c r="CE1028" t="str">
        <f>"20:26:49.345"</f>
        <v>20:26:49.345</v>
      </c>
      <c r="CF1028">
        <v>344934857</v>
      </c>
      <c r="CS1028">
        <v>0</v>
      </c>
      <c r="CT1028">
        <v>2</v>
      </c>
      <c r="CU1028">
        <v>0</v>
      </c>
      <c r="CV1028">
        <v>2</v>
      </c>
      <c r="CW1028">
        <v>0</v>
      </c>
      <c r="CX1028">
        <v>2</v>
      </c>
      <c r="CY1028">
        <v>7</v>
      </c>
      <c r="CZ1028" t="s">
        <v>131</v>
      </c>
      <c r="DA1028">
        <v>483</v>
      </c>
      <c r="DB1028">
        <v>1</v>
      </c>
      <c r="DC1028" t="s">
        <v>169</v>
      </c>
      <c r="DD1028" t="s">
        <v>170</v>
      </c>
      <c r="DG1028">
        <v>7383737</v>
      </c>
      <c r="DI1028">
        <v>0</v>
      </c>
      <c r="DJ1028">
        <v>0</v>
      </c>
      <c r="DK1028">
        <v>1</v>
      </c>
      <c r="DL1028">
        <v>0</v>
      </c>
      <c r="DM1028">
        <v>0</v>
      </c>
      <c r="DN1028">
        <v>0</v>
      </c>
      <c r="DO1028">
        <v>0</v>
      </c>
      <c r="DP1028">
        <v>1</v>
      </c>
      <c r="DQ1028">
        <v>0</v>
      </c>
      <c r="DR1028">
        <v>0</v>
      </c>
      <c r="DS1028">
        <v>0</v>
      </c>
    </row>
    <row r="1029" spans="1:123" x14ac:dyDescent="0.25">
      <c r="A1029" t="str">
        <f>"11/29/2023 20:26:49.837"</f>
        <v>11/29/2023 20:26:49.837</v>
      </c>
      <c r="C1029" t="str">
        <f t="shared" si="116"/>
        <v>FFDF53C0</v>
      </c>
      <c r="D1029" t="s">
        <v>138</v>
      </c>
      <c r="E1029">
        <v>3</v>
      </c>
      <c r="H1029">
        <v>160</v>
      </c>
      <c r="I1029" t="s">
        <v>124</v>
      </c>
      <c r="J1029" t="s">
        <v>139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 t="shared" si="121"/>
        <v>20:26:49.344</v>
      </c>
      <c r="T1029" t="str">
        <f t="shared" si="121"/>
        <v>20:26:49.344</v>
      </c>
      <c r="U1029" t="str">
        <f t="shared" si="119"/>
        <v>AA0632</v>
      </c>
      <c r="V1029">
        <v>0</v>
      </c>
      <c r="W1029">
        <v>0</v>
      </c>
      <c r="X1029">
        <v>2</v>
      </c>
      <c r="Y1029">
        <v>0</v>
      </c>
      <c r="AA1029">
        <v>0</v>
      </c>
      <c r="AB1029">
        <v>9</v>
      </c>
      <c r="AC1029">
        <v>3</v>
      </c>
      <c r="AD1029">
        <v>0</v>
      </c>
      <c r="AE1029">
        <v>10</v>
      </c>
      <c r="AF1029" t="s">
        <v>126</v>
      </c>
      <c r="AG1029">
        <v>0</v>
      </c>
      <c r="AH1029">
        <v>0</v>
      </c>
      <c r="AI1029">
        <v>2</v>
      </c>
      <c r="AJ1029">
        <v>0</v>
      </c>
      <c r="AK1029" t="s">
        <v>626</v>
      </c>
      <c r="AL1029">
        <v>31.919854000000001</v>
      </c>
      <c r="AM1029" t="s">
        <v>627</v>
      </c>
      <c r="AN1029">
        <v>-100.967939</v>
      </c>
      <c r="AQ1029" t="s">
        <v>129</v>
      </c>
      <c r="AR1029">
        <v>-41</v>
      </c>
      <c r="AS1029">
        <v>-37</v>
      </c>
      <c r="AT1029">
        <v>0</v>
      </c>
      <c r="BB1029" t="str">
        <f t="shared" si="120"/>
        <v>1200</v>
      </c>
      <c r="BC1029">
        <v>1</v>
      </c>
      <c r="BD1029" t="str">
        <f t="shared" si="117"/>
        <v xml:space="preserve">N745MB  </v>
      </c>
      <c r="BE1029">
        <v>1</v>
      </c>
      <c r="BG1029">
        <v>0</v>
      </c>
      <c r="BH1029">
        <v>0</v>
      </c>
      <c r="BI1029">
        <v>0</v>
      </c>
      <c r="BL1029" t="s">
        <v>130</v>
      </c>
      <c r="BM1029">
        <v>1</v>
      </c>
      <c r="BN1029">
        <v>0</v>
      </c>
      <c r="BO1029">
        <v>0</v>
      </c>
      <c r="BP1029">
        <v>0</v>
      </c>
      <c r="BT1029">
        <v>0</v>
      </c>
      <c r="BU1029">
        <v>0</v>
      </c>
      <c r="CE1029" t="str">
        <f>"20:26:49.345"</f>
        <v>20:26:49.345</v>
      </c>
      <c r="CF1029">
        <v>344934857</v>
      </c>
      <c r="CS1029">
        <v>0</v>
      </c>
      <c r="CT1029">
        <v>2</v>
      </c>
      <c r="CU1029">
        <v>0</v>
      </c>
      <c r="CV1029">
        <v>2</v>
      </c>
      <c r="CW1029">
        <v>0</v>
      </c>
      <c r="CX1029">
        <v>2</v>
      </c>
      <c r="CY1029">
        <v>7</v>
      </c>
      <c r="CZ1029" t="s">
        <v>131</v>
      </c>
      <c r="DA1029">
        <v>483</v>
      </c>
      <c r="DB1029">
        <v>1</v>
      </c>
      <c r="DC1029" t="s">
        <v>169</v>
      </c>
      <c r="DD1029" t="s">
        <v>170</v>
      </c>
      <c r="DG1029">
        <v>7383737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1</v>
      </c>
      <c r="DQ1029">
        <v>0</v>
      </c>
      <c r="DR1029">
        <v>0</v>
      </c>
      <c r="DS1029">
        <v>0</v>
      </c>
    </row>
    <row r="1030" spans="1:123" x14ac:dyDescent="0.25">
      <c r="A1030" t="str">
        <f>"11/29/2023 20:26:51.305"</f>
        <v>11/29/2023 20:26:51.305</v>
      </c>
      <c r="C1030" t="str">
        <f t="shared" si="116"/>
        <v>FFDF53C0</v>
      </c>
      <c r="D1030" t="s">
        <v>164</v>
      </c>
      <c r="E1030">
        <v>24</v>
      </c>
      <c r="F1030">
        <v>2024</v>
      </c>
      <c r="G1030" t="s">
        <v>165</v>
      </c>
      <c r="J1030" t="s">
        <v>166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>"20:26:50.898"</f>
        <v>20:26:50.898</v>
      </c>
      <c r="T1030" t="str">
        <f>"20:26:49.798"</f>
        <v>20:26:49.798</v>
      </c>
      <c r="U1030" t="str">
        <f t="shared" si="119"/>
        <v>AA0632</v>
      </c>
      <c r="V1030">
        <v>0</v>
      </c>
      <c r="W1030">
        <v>0</v>
      </c>
      <c r="X1030">
        <v>2</v>
      </c>
      <c r="Y1030">
        <v>0</v>
      </c>
      <c r="AA1030">
        <v>0</v>
      </c>
      <c r="AB1030">
        <v>9</v>
      </c>
      <c r="AC1030">
        <v>3</v>
      </c>
      <c r="AD1030">
        <v>0</v>
      </c>
      <c r="AE1030">
        <v>10</v>
      </c>
      <c r="AF1030" t="s">
        <v>126</v>
      </c>
      <c r="AG1030">
        <v>0</v>
      </c>
      <c r="AH1030">
        <v>0</v>
      </c>
      <c r="AI1030">
        <v>2</v>
      </c>
      <c r="AJ1030">
        <v>0</v>
      </c>
      <c r="AK1030" t="s">
        <v>628</v>
      </c>
      <c r="AL1030">
        <v>31.919574999999998</v>
      </c>
      <c r="AM1030" t="s">
        <v>629</v>
      </c>
      <c r="AN1030">
        <v>-100.96832499999999</v>
      </c>
      <c r="AQ1030" t="s">
        <v>129</v>
      </c>
      <c r="AR1030">
        <v>-42</v>
      </c>
      <c r="AS1030">
        <v>-36</v>
      </c>
      <c r="AT1030">
        <v>0</v>
      </c>
      <c r="BB1030" t="str">
        <f t="shared" si="120"/>
        <v>1200</v>
      </c>
      <c r="BC1030">
        <v>1</v>
      </c>
      <c r="BD1030" t="str">
        <f t="shared" si="117"/>
        <v xml:space="preserve">N745MB  </v>
      </c>
      <c r="BE1030">
        <v>1</v>
      </c>
      <c r="BG1030">
        <v>0</v>
      </c>
      <c r="BH1030">
        <v>0</v>
      </c>
      <c r="BI1030">
        <v>0</v>
      </c>
      <c r="BL1030" t="s">
        <v>130</v>
      </c>
      <c r="BM1030">
        <v>1</v>
      </c>
      <c r="BN1030">
        <v>0</v>
      </c>
      <c r="BO1030">
        <v>0</v>
      </c>
      <c r="BP1030">
        <v>0</v>
      </c>
      <c r="BT1030">
        <v>0</v>
      </c>
      <c r="BU1030">
        <v>0</v>
      </c>
      <c r="CE1030" t="str">
        <f>"20:26:50.903"</f>
        <v>20:26:50.903</v>
      </c>
      <c r="CF1030">
        <v>902809848</v>
      </c>
      <c r="CS1030">
        <v>0</v>
      </c>
      <c r="CT1030">
        <v>2</v>
      </c>
      <c r="CU1030">
        <v>0</v>
      </c>
      <c r="CV1030">
        <v>2</v>
      </c>
      <c r="CW1030">
        <v>0</v>
      </c>
      <c r="CX1030">
        <v>3</v>
      </c>
      <c r="CY1030">
        <v>7</v>
      </c>
      <c r="CZ1030" t="s">
        <v>131</v>
      </c>
      <c r="DA1030">
        <v>483</v>
      </c>
      <c r="DB1030">
        <v>0</v>
      </c>
      <c r="DC1030" t="s">
        <v>169</v>
      </c>
      <c r="DD1030" t="s">
        <v>170</v>
      </c>
      <c r="DG1030">
        <v>7383963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1</v>
      </c>
      <c r="DQ1030">
        <v>0</v>
      </c>
      <c r="DR1030">
        <v>0</v>
      </c>
      <c r="DS1030">
        <v>0</v>
      </c>
    </row>
    <row r="1031" spans="1:123" x14ac:dyDescent="0.25">
      <c r="A1031" t="str">
        <f>"11/29/2023 20:26:51.321"</f>
        <v>11/29/2023 20:26:51.321</v>
      </c>
      <c r="C1031" t="str">
        <f t="shared" si="116"/>
        <v>FFDF53C0</v>
      </c>
      <c r="D1031" t="s">
        <v>123</v>
      </c>
      <c r="E1031">
        <v>14</v>
      </c>
      <c r="F1031">
        <v>1014</v>
      </c>
      <c r="G1031" t="s">
        <v>124</v>
      </c>
      <c r="J1031" t="s">
        <v>125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"20:26:50.898"</f>
        <v>20:26:50.898</v>
      </c>
      <c r="T1031" t="str">
        <f>"20:26:49.798"</f>
        <v>20:26:49.798</v>
      </c>
      <c r="U1031" t="str">
        <f t="shared" si="119"/>
        <v>AA0632</v>
      </c>
      <c r="V1031">
        <v>0</v>
      </c>
      <c r="W1031">
        <v>0</v>
      </c>
      <c r="X1031">
        <v>2</v>
      </c>
      <c r="Y1031">
        <v>0</v>
      </c>
      <c r="AA1031">
        <v>0</v>
      </c>
      <c r="AB1031">
        <v>9</v>
      </c>
      <c r="AC1031">
        <v>3</v>
      </c>
      <c r="AD1031">
        <v>0</v>
      </c>
      <c r="AE1031">
        <v>10</v>
      </c>
      <c r="AF1031" t="s">
        <v>126</v>
      </c>
      <c r="AG1031">
        <v>0</v>
      </c>
      <c r="AH1031">
        <v>0</v>
      </c>
      <c r="AI1031">
        <v>2</v>
      </c>
      <c r="AJ1031">
        <v>0</v>
      </c>
      <c r="AK1031" t="s">
        <v>628</v>
      </c>
      <c r="AL1031">
        <v>31.919574999999998</v>
      </c>
      <c r="AM1031" t="s">
        <v>629</v>
      </c>
      <c r="AN1031">
        <v>-100.96832499999999</v>
      </c>
      <c r="AQ1031" t="s">
        <v>129</v>
      </c>
      <c r="AR1031">
        <v>-42</v>
      </c>
      <c r="AS1031">
        <v>-36</v>
      </c>
      <c r="AT1031">
        <v>0</v>
      </c>
      <c r="BB1031" t="str">
        <f t="shared" si="120"/>
        <v>1200</v>
      </c>
      <c r="BC1031">
        <v>1</v>
      </c>
      <c r="BD1031" t="str">
        <f t="shared" si="117"/>
        <v xml:space="preserve">N745MB  </v>
      </c>
      <c r="BE1031">
        <v>1</v>
      </c>
      <c r="BG1031">
        <v>0</v>
      </c>
      <c r="BH1031">
        <v>0</v>
      </c>
      <c r="BI1031">
        <v>0</v>
      </c>
      <c r="BL1031" t="s">
        <v>130</v>
      </c>
      <c r="BM1031">
        <v>1</v>
      </c>
      <c r="BN1031">
        <v>0</v>
      </c>
      <c r="BO1031">
        <v>0</v>
      </c>
      <c r="BP1031">
        <v>0</v>
      </c>
      <c r="BT1031">
        <v>0</v>
      </c>
      <c r="BU1031">
        <v>0</v>
      </c>
      <c r="CE1031" t="str">
        <f>"20:26:50.903"</f>
        <v>20:26:50.903</v>
      </c>
      <c r="CF1031">
        <v>902809848</v>
      </c>
      <c r="CS1031">
        <v>0</v>
      </c>
      <c r="CT1031">
        <v>2</v>
      </c>
      <c r="CU1031">
        <v>0</v>
      </c>
      <c r="CV1031">
        <v>2</v>
      </c>
      <c r="CW1031">
        <v>0</v>
      </c>
      <c r="CX1031">
        <v>3</v>
      </c>
      <c r="CY1031">
        <v>7</v>
      </c>
      <c r="CZ1031" t="s">
        <v>131</v>
      </c>
      <c r="DA1031">
        <v>483</v>
      </c>
      <c r="DB1031">
        <v>0</v>
      </c>
      <c r="DC1031" t="s">
        <v>169</v>
      </c>
      <c r="DD1031" t="s">
        <v>170</v>
      </c>
      <c r="DG1031">
        <v>7383963</v>
      </c>
      <c r="DI1031">
        <v>0</v>
      </c>
      <c r="DJ1031">
        <v>0</v>
      </c>
      <c r="DK1031">
        <v>1</v>
      </c>
      <c r="DL1031">
        <v>0</v>
      </c>
      <c r="DM1031">
        <v>0</v>
      </c>
      <c r="DN1031">
        <v>0</v>
      </c>
      <c r="DO1031">
        <v>0</v>
      </c>
      <c r="DP1031">
        <v>1</v>
      </c>
      <c r="DQ1031">
        <v>0</v>
      </c>
      <c r="DR1031">
        <v>0</v>
      </c>
      <c r="DS1031">
        <v>0</v>
      </c>
    </row>
    <row r="1032" spans="1:123" x14ac:dyDescent="0.25">
      <c r="A1032" t="str">
        <f>"11/29/2023 20:26:51.321"</f>
        <v>11/29/2023 20:26:51.321</v>
      </c>
      <c r="C1032" t="str">
        <f t="shared" si="116"/>
        <v>FFDF53C0</v>
      </c>
      <c r="D1032" t="s">
        <v>138</v>
      </c>
      <c r="E1032">
        <v>3</v>
      </c>
      <c r="H1032">
        <v>160</v>
      </c>
      <c r="I1032" t="s">
        <v>124</v>
      </c>
      <c r="J1032" t="s">
        <v>139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>"20:26:50.898"</f>
        <v>20:26:50.898</v>
      </c>
      <c r="T1032" t="str">
        <f>"20:26:49.798"</f>
        <v>20:26:49.798</v>
      </c>
      <c r="U1032" t="str">
        <f t="shared" si="119"/>
        <v>AA0632</v>
      </c>
      <c r="V1032">
        <v>0</v>
      </c>
      <c r="W1032">
        <v>0</v>
      </c>
      <c r="X1032">
        <v>2</v>
      </c>
      <c r="Y1032">
        <v>0</v>
      </c>
      <c r="AA1032">
        <v>0</v>
      </c>
      <c r="AB1032">
        <v>9</v>
      </c>
      <c r="AC1032">
        <v>3</v>
      </c>
      <c r="AD1032">
        <v>0</v>
      </c>
      <c r="AE1032">
        <v>10</v>
      </c>
      <c r="AF1032" t="s">
        <v>126</v>
      </c>
      <c r="AG1032">
        <v>0</v>
      </c>
      <c r="AH1032">
        <v>0</v>
      </c>
      <c r="AI1032">
        <v>2</v>
      </c>
      <c r="AJ1032">
        <v>0</v>
      </c>
      <c r="AK1032" t="s">
        <v>628</v>
      </c>
      <c r="AL1032">
        <v>31.919574999999998</v>
      </c>
      <c r="AM1032" t="s">
        <v>629</v>
      </c>
      <c r="AN1032">
        <v>-100.96832499999999</v>
      </c>
      <c r="AQ1032" t="s">
        <v>129</v>
      </c>
      <c r="AR1032">
        <v>-42</v>
      </c>
      <c r="AS1032">
        <v>-36</v>
      </c>
      <c r="AT1032">
        <v>0</v>
      </c>
      <c r="BB1032" t="str">
        <f t="shared" si="120"/>
        <v>1200</v>
      </c>
      <c r="BC1032">
        <v>1</v>
      </c>
      <c r="BD1032" t="str">
        <f t="shared" si="117"/>
        <v xml:space="preserve">N745MB  </v>
      </c>
      <c r="BE1032">
        <v>1</v>
      </c>
      <c r="BG1032">
        <v>0</v>
      </c>
      <c r="BH1032">
        <v>0</v>
      </c>
      <c r="BI1032">
        <v>0</v>
      </c>
      <c r="BL1032" t="s">
        <v>130</v>
      </c>
      <c r="BM1032">
        <v>1</v>
      </c>
      <c r="BN1032">
        <v>0</v>
      </c>
      <c r="BO1032">
        <v>0</v>
      </c>
      <c r="BP1032">
        <v>0</v>
      </c>
      <c r="BT1032">
        <v>0</v>
      </c>
      <c r="BU1032">
        <v>0</v>
      </c>
      <c r="CE1032" t="str">
        <f>"20:26:50.903"</f>
        <v>20:26:50.903</v>
      </c>
      <c r="CF1032">
        <v>902809848</v>
      </c>
      <c r="CS1032">
        <v>0</v>
      </c>
      <c r="CT1032">
        <v>2</v>
      </c>
      <c r="CU1032">
        <v>0</v>
      </c>
      <c r="CV1032">
        <v>2</v>
      </c>
      <c r="CW1032">
        <v>0</v>
      </c>
      <c r="CX1032">
        <v>3</v>
      </c>
      <c r="CY1032">
        <v>7</v>
      </c>
      <c r="CZ1032" t="s">
        <v>131</v>
      </c>
      <c r="DA1032">
        <v>483</v>
      </c>
      <c r="DB1032">
        <v>0</v>
      </c>
      <c r="DC1032" t="s">
        <v>169</v>
      </c>
      <c r="DD1032" t="s">
        <v>170</v>
      </c>
      <c r="DG1032">
        <v>7383963</v>
      </c>
      <c r="DI1032">
        <v>0</v>
      </c>
      <c r="DJ1032">
        <v>0</v>
      </c>
      <c r="DK1032">
        <v>1</v>
      </c>
      <c r="DL1032">
        <v>0</v>
      </c>
      <c r="DM1032">
        <v>0</v>
      </c>
      <c r="DN1032">
        <v>0</v>
      </c>
      <c r="DO1032">
        <v>0</v>
      </c>
      <c r="DP1032">
        <v>1</v>
      </c>
      <c r="DQ1032">
        <v>0</v>
      </c>
      <c r="DR1032">
        <v>0</v>
      </c>
      <c r="DS1032">
        <v>0</v>
      </c>
    </row>
    <row r="1033" spans="1:123" x14ac:dyDescent="0.25">
      <c r="A1033" t="str">
        <f>"11/29/2023 20:26:54.618"</f>
        <v>11/29/2023 20:26:54.618</v>
      </c>
      <c r="C1033" t="str">
        <f t="shared" si="116"/>
        <v>FFDF53C0</v>
      </c>
      <c r="D1033" t="s">
        <v>123</v>
      </c>
      <c r="E1033">
        <v>14</v>
      </c>
      <c r="F1033">
        <v>1014</v>
      </c>
      <c r="G1033" t="s">
        <v>124</v>
      </c>
      <c r="J1033" t="s">
        <v>125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 t="shared" ref="S1033:T1036" si="122">"20:26:54.266"</f>
        <v>20:26:54.266</v>
      </c>
      <c r="T1033" t="str">
        <f t="shared" si="122"/>
        <v>20:26:54.266</v>
      </c>
      <c r="U1033" t="str">
        <f t="shared" si="119"/>
        <v>AA0632</v>
      </c>
      <c r="V1033">
        <v>0</v>
      </c>
      <c r="W1033">
        <v>0</v>
      </c>
      <c r="X1033">
        <v>2</v>
      </c>
      <c r="Y1033">
        <v>0</v>
      </c>
      <c r="AA1033">
        <v>0</v>
      </c>
      <c r="AB1033">
        <v>9</v>
      </c>
      <c r="AC1033">
        <v>3</v>
      </c>
      <c r="AD1033">
        <v>0</v>
      </c>
      <c r="AE1033">
        <v>10</v>
      </c>
      <c r="AF1033" t="s">
        <v>126</v>
      </c>
      <c r="AG1033">
        <v>0</v>
      </c>
      <c r="AH1033">
        <v>0</v>
      </c>
      <c r="AI1033">
        <v>2</v>
      </c>
      <c r="AJ1033">
        <v>0</v>
      </c>
      <c r="AK1033" t="s">
        <v>630</v>
      </c>
      <c r="AL1033">
        <v>31.919274000000001</v>
      </c>
      <c r="AM1033" t="s">
        <v>631</v>
      </c>
      <c r="AN1033">
        <v>-100.969291</v>
      </c>
      <c r="AQ1033" t="s">
        <v>129</v>
      </c>
      <c r="AR1033">
        <v>-55</v>
      </c>
      <c r="AS1033">
        <v>-12</v>
      </c>
      <c r="AT1033">
        <v>64</v>
      </c>
      <c r="BB1033" t="str">
        <f t="shared" si="120"/>
        <v>1200</v>
      </c>
      <c r="BC1033">
        <v>1</v>
      </c>
      <c r="BD1033" t="str">
        <f t="shared" si="117"/>
        <v xml:space="preserve">N745MB  </v>
      </c>
      <c r="BE1033">
        <v>1</v>
      </c>
      <c r="BG1033">
        <v>0</v>
      </c>
      <c r="BH1033">
        <v>0</v>
      </c>
      <c r="BI1033">
        <v>0</v>
      </c>
      <c r="BL1033" t="s">
        <v>130</v>
      </c>
      <c r="BM1033">
        <v>1</v>
      </c>
      <c r="BN1033">
        <v>0</v>
      </c>
      <c r="BO1033">
        <v>0</v>
      </c>
      <c r="BP1033">
        <v>0</v>
      </c>
      <c r="BT1033">
        <v>0</v>
      </c>
      <c r="BU1033">
        <v>0</v>
      </c>
      <c r="CE1033" t="str">
        <f>"20:26:54.273"</f>
        <v>20:26:54.273</v>
      </c>
      <c r="CF1033">
        <v>272578226</v>
      </c>
      <c r="CS1033">
        <v>0</v>
      </c>
      <c r="CT1033">
        <v>2</v>
      </c>
      <c r="CU1033">
        <v>0</v>
      </c>
      <c r="CV1033">
        <v>2</v>
      </c>
      <c r="CW1033">
        <v>0</v>
      </c>
      <c r="CX1033">
        <v>5</v>
      </c>
      <c r="CY1033">
        <v>7</v>
      </c>
      <c r="CZ1033" t="s">
        <v>131</v>
      </c>
      <c r="DA1033">
        <v>116</v>
      </c>
      <c r="DB1033">
        <v>0</v>
      </c>
      <c r="DC1033" t="s">
        <v>132</v>
      </c>
      <c r="DD1033" t="s">
        <v>133</v>
      </c>
      <c r="DG1033">
        <v>14718105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1</v>
      </c>
      <c r="DQ1033">
        <v>0</v>
      </c>
      <c r="DR1033">
        <v>0</v>
      </c>
      <c r="DS1033">
        <v>0</v>
      </c>
    </row>
    <row r="1034" spans="1:123" x14ac:dyDescent="0.25">
      <c r="A1034" t="str">
        <f>"11/29/2023 20:26:54.618"</f>
        <v>11/29/2023 20:26:54.618</v>
      </c>
      <c r="C1034" t="str">
        <f t="shared" si="116"/>
        <v>FFDF53C0</v>
      </c>
      <c r="D1034" t="s">
        <v>123</v>
      </c>
      <c r="E1034">
        <v>1</v>
      </c>
      <c r="F1034">
        <v>1001</v>
      </c>
      <c r="G1034" t="s">
        <v>134</v>
      </c>
      <c r="J1034" t="s">
        <v>125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 t="shared" si="122"/>
        <v>20:26:54.266</v>
      </c>
      <c r="T1034" t="str">
        <f t="shared" si="122"/>
        <v>20:26:54.266</v>
      </c>
      <c r="U1034" t="str">
        <f t="shared" si="119"/>
        <v>AA0632</v>
      </c>
      <c r="V1034">
        <v>0</v>
      </c>
      <c r="W1034">
        <v>0</v>
      </c>
      <c r="X1034">
        <v>2</v>
      </c>
      <c r="Y1034">
        <v>0</v>
      </c>
      <c r="AA1034">
        <v>0</v>
      </c>
      <c r="AB1034">
        <v>9</v>
      </c>
      <c r="AC1034">
        <v>3</v>
      </c>
      <c r="AD1034">
        <v>0</v>
      </c>
      <c r="AE1034">
        <v>10</v>
      </c>
      <c r="AF1034" t="s">
        <v>126</v>
      </c>
      <c r="AG1034">
        <v>0</v>
      </c>
      <c r="AH1034">
        <v>0</v>
      </c>
      <c r="AI1034">
        <v>2</v>
      </c>
      <c r="AJ1034">
        <v>0</v>
      </c>
      <c r="AK1034" t="s">
        <v>630</v>
      </c>
      <c r="AL1034">
        <v>31.919274000000001</v>
      </c>
      <c r="AM1034" t="s">
        <v>631</v>
      </c>
      <c r="AN1034">
        <v>-100.969291</v>
      </c>
      <c r="AQ1034" t="s">
        <v>129</v>
      </c>
      <c r="AR1034">
        <v>-55</v>
      </c>
      <c r="AS1034">
        <v>-12</v>
      </c>
      <c r="AT1034">
        <v>64</v>
      </c>
      <c r="BB1034" t="str">
        <f t="shared" si="120"/>
        <v>1200</v>
      </c>
      <c r="BC1034">
        <v>1</v>
      </c>
      <c r="BD1034" t="str">
        <f t="shared" si="117"/>
        <v xml:space="preserve">N745MB  </v>
      </c>
      <c r="BE1034">
        <v>1</v>
      </c>
      <c r="BG1034">
        <v>0</v>
      </c>
      <c r="BH1034">
        <v>0</v>
      </c>
      <c r="BI1034">
        <v>0</v>
      </c>
      <c r="BL1034" t="s">
        <v>130</v>
      </c>
      <c r="BM1034">
        <v>1</v>
      </c>
      <c r="BN1034">
        <v>0</v>
      </c>
      <c r="BO1034">
        <v>0</v>
      </c>
      <c r="BP1034">
        <v>0</v>
      </c>
      <c r="BT1034">
        <v>0</v>
      </c>
      <c r="BU1034">
        <v>0</v>
      </c>
      <c r="CE1034" t="str">
        <f>"20:26:54.273"</f>
        <v>20:26:54.273</v>
      </c>
      <c r="CF1034">
        <v>272578226</v>
      </c>
      <c r="CS1034">
        <v>0</v>
      </c>
      <c r="CT1034">
        <v>2</v>
      </c>
      <c r="CU1034">
        <v>0</v>
      </c>
      <c r="CV1034">
        <v>2</v>
      </c>
      <c r="CW1034">
        <v>0</v>
      </c>
      <c r="CX1034">
        <v>5</v>
      </c>
      <c r="CY1034">
        <v>7</v>
      </c>
      <c r="CZ1034" t="s">
        <v>131</v>
      </c>
      <c r="DA1034">
        <v>116</v>
      </c>
      <c r="DB1034">
        <v>0</v>
      </c>
      <c r="DC1034" t="s">
        <v>132</v>
      </c>
      <c r="DD1034" t="s">
        <v>133</v>
      </c>
      <c r="DG1034">
        <v>14718105</v>
      </c>
      <c r="DI1034">
        <v>0</v>
      </c>
      <c r="DJ1034">
        <v>0</v>
      </c>
      <c r="DK1034">
        <v>1</v>
      </c>
      <c r="DL1034">
        <v>0</v>
      </c>
      <c r="DM1034">
        <v>0</v>
      </c>
      <c r="DN1034">
        <v>0</v>
      </c>
      <c r="DO1034">
        <v>0</v>
      </c>
      <c r="DP1034">
        <v>1</v>
      </c>
      <c r="DQ1034">
        <v>0</v>
      </c>
      <c r="DR1034">
        <v>0</v>
      </c>
      <c r="DS1034">
        <v>0</v>
      </c>
    </row>
    <row r="1035" spans="1:123" x14ac:dyDescent="0.25">
      <c r="A1035" t="str">
        <f>"11/29/2023 20:26:54.618"</f>
        <v>11/29/2023 20:26:54.618</v>
      </c>
      <c r="C1035" t="str">
        <f t="shared" si="116"/>
        <v>FFDF53C0</v>
      </c>
      <c r="D1035" t="s">
        <v>135</v>
      </c>
      <c r="E1035">
        <v>31</v>
      </c>
      <c r="H1035">
        <v>285</v>
      </c>
      <c r="I1035" t="s">
        <v>136</v>
      </c>
      <c r="J1035" t="s">
        <v>137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 t="shared" si="122"/>
        <v>20:26:54.266</v>
      </c>
      <c r="T1035" t="str">
        <f t="shared" si="122"/>
        <v>20:26:54.266</v>
      </c>
      <c r="U1035" t="str">
        <f t="shared" si="119"/>
        <v>AA0632</v>
      </c>
      <c r="V1035">
        <v>0</v>
      </c>
      <c r="W1035">
        <v>0</v>
      </c>
      <c r="X1035">
        <v>2</v>
      </c>
      <c r="Y1035">
        <v>0</v>
      </c>
      <c r="AA1035">
        <v>0</v>
      </c>
      <c r="AB1035">
        <v>9</v>
      </c>
      <c r="AC1035">
        <v>3</v>
      </c>
      <c r="AD1035">
        <v>0</v>
      </c>
      <c r="AE1035">
        <v>10</v>
      </c>
      <c r="AF1035" t="s">
        <v>126</v>
      </c>
      <c r="AG1035">
        <v>0</v>
      </c>
      <c r="AH1035">
        <v>0</v>
      </c>
      <c r="AI1035">
        <v>2</v>
      </c>
      <c r="AJ1035">
        <v>0</v>
      </c>
      <c r="AK1035" t="s">
        <v>630</v>
      </c>
      <c r="AL1035">
        <v>31.919274000000001</v>
      </c>
      <c r="AM1035" t="s">
        <v>631</v>
      </c>
      <c r="AN1035">
        <v>-100.969291</v>
      </c>
      <c r="AQ1035" t="s">
        <v>129</v>
      </c>
      <c r="AR1035">
        <v>-55</v>
      </c>
      <c r="AS1035">
        <v>-12</v>
      </c>
      <c r="AT1035">
        <v>64</v>
      </c>
      <c r="BB1035" t="str">
        <f t="shared" si="120"/>
        <v>1200</v>
      </c>
      <c r="BC1035">
        <v>1</v>
      </c>
      <c r="BD1035" t="str">
        <f t="shared" si="117"/>
        <v xml:space="preserve">N745MB  </v>
      </c>
      <c r="BE1035">
        <v>1</v>
      </c>
      <c r="BG1035">
        <v>0</v>
      </c>
      <c r="BH1035">
        <v>0</v>
      </c>
      <c r="BI1035">
        <v>0</v>
      </c>
      <c r="BL1035" t="s">
        <v>130</v>
      </c>
      <c r="BM1035">
        <v>1</v>
      </c>
      <c r="BN1035">
        <v>0</v>
      </c>
      <c r="BO1035">
        <v>0</v>
      </c>
      <c r="BP1035">
        <v>0</v>
      </c>
      <c r="BT1035">
        <v>0</v>
      </c>
      <c r="BU1035">
        <v>0</v>
      </c>
      <c r="CE1035" t="str">
        <f>"20:26:54.273"</f>
        <v>20:26:54.273</v>
      </c>
      <c r="CF1035">
        <v>272578226</v>
      </c>
      <c r="CS1035">
        <v>0</v>
      </c>
      <c r="CT1035">
        <v>2</v>
      </c>
      <c r="CU1035">
        <v>0</v>
      </c>
      <c r="CV1035">
        <v>2</v>
      </c>
      <c r="CW1035">
        <v>0</v>
      </c>
      <c r="CX1035">
        <v>5</v>
      </c>
      <c r="CY1035">
        <v>7</v>
      </c>
      <c r="CZ1035" t="s">
        <v>131</v>
      </c>
      <c r="DA1035">
        <v>116</v>
      </c>
      <c r="DB1035">
        <v>0</v>
      </c>
      <c r="DC1035" t="s">
        <v>132</v>
      </c>
      <c r="DD1035" t="s">
        <v>133</v>
      </c>
      <c r="DG1035">
        <v>14718105</v>
      </c>
      <c r="DI1035">
        <v>0</v>
      </c>
      <c r="DJ1035">
        <v>0</v>
      </c>
      <c r="DK1035">
        <v>1</v>
      </c>
      <c r="DL1035">
        <v>0</v>
      </c>
      <c r="DM1035">
        <v>0</v>
      </c>
      <c r="DN1035">
        <v>0</v>
      </c>
      <c r="DO1035">
        <v>0</v>
      </c>
      <c r="DP1035">
        <v>1</v>
      </c>
      <c r="DQ1035">
        <v>0</v>
      </c>
      <c r="DR1035">
        <v>0</v>
      </c>
      <c r="DS1035">
        <v>0</v>
      </c>
    </row>
    <row r="1036" spans="1:123" x14ac:dyDescent="0.25">
      <c r="A1036" t="str">
        <f>"11/29/2023 20:26:54.727"</f>
        <v>11/29/2023 20:26:54.727</v>
      </c>
      <c r="C1036" t="str">
        <f t="shared" si="116"/>
        <v>FFDF53C0</v>
      </c>
      <c r="D1036" t="s">
        <v>138</v>
      </c>
      <c r="E1036">
        <v>3</v>
      </c>
      <c r="H1036">
        <v>160</v>
      </c>
      <c r="I1036" t="s">
        <v>124</v>
      </c>
      <c r="J1036" t="s">
        <v>139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 t="shared" si="122"/>
        <v>20:26:54.266</v>
      </c>
      <c r="T1036" t="str">
        <f t="shared" si="122"/>
        <v>20:26:54.266</v>
      </c>
      <c r="U1036" t="str">
        <f t="shared" si="119"/>
        <v>AA0632</v>
      </c>
      <c r="V1036">
        <v>0</v>
      </c>
      <c r="W1036">
        <v>0</v>
      </c>
      <c r="X1036">
        <v>2</v>
      </c>
      <c r="Y1036">
        <v>0</v>
      </c>
      <c r="AA1036">
        <v>0</v>
      </c>
      <c r="AB1036">
        <v>9</v>
      </c>
      <c r="AC1036">
        <v>3</v>
      </c>
      <c r="AD1036">
        <v>0</v>
      </c>
      <c r="AE1036">
        <v>10</v>
      </c>
      <c r="AF1036" t="s">
        <v>126</v>
      </c>
      <c r="AG1036">
        <v>0</v>
      </c>
      <c r="AH1036">
        <v>0</v>
      </c>
      <c r="AI1036">
        <v>2</v>
      </c>
      <c r="AJ1036">
        <v>0</v>
      </c>
      <c r="AK1036" t="s">
        <v>630</v>
      </c>
      <c r="AL1036">
        <v>31.919274000000001</v>
      </c>
      <c r="AM1036" t="s">
        <v>631</v>
      </c>
      <c r="AN1036">
        <v>-100.969291</v>
      </c>
      <c r="AQ1036" t="s">
        <v>129</v>
      </c>
      <c r="AR1036">
        <v>-55</v>
      </c>
      <c r="AS1036">
        <v>-12</v>
      </c>
      <c r="AT1036">
        <v>64</v>
      </c>
      <c r="BB1036" t="str">
        <f t="shared" si="120"/>
        <v>1200</v>
      </c>
      <c r="BC1036">
        <v>1</v>
      </c>
      <c r="BD1036" t="str">
        <f t="shared" si="117"/>
        <v xml:space="preserve">N745MB  </v>
      </c>
      <c r="BE1036">
        <v>1</v>
      </c>
      <c r="BG1036">
        <v>0</v>
      </c>
      <c r="BH1036">
        <v>0</v>
      </c>
      <c r="BI1036">
        <v>0</v>
      </c>
      <c r="BL1036" t="s">
        <v>130</v>
      </c>
      <c r="BM1036">
        <v>1</v>
      </c>
      <c r="BN1036">
        <v>0</v>
      </c>
      <c r="BO1036">
        <v>0</v>
      </c>
      <c r="BP1036">
        <v>0</v>
      </c>
      <c r="BT1036">
        <v>0</v>
      </c>
      <c r="BU1036">
        <v>0</v>
      </c>
      <c r="CE1036" t="str">
        <f>"20:26:54.273"</f>
        <v>20:26:54.273</v>
      </c>
      <c r="CF1036">
        <v>272578226</v>
      </c>
      <c r="CS1036">
        <v>0</v>
      </c>
      <c r="CT1036">
        <v>2</v>
      </c>
      <c r="CU1036">
        <v>0</v>
      </c>
      <c r="CV1036">
        <v>2</v>
      </c>
      <c r="CW1036">
        <v>0</v>
      </c>
      <c r="CX1036">
        <v>5</v>
      </c>
      <c r="CY1036">
        <v>7</v>
      </c>
      <c r="CZ1036" t="s">
        <v>131</v>
      </c>
      <c r="DA1036">
        <v>116</v>
      </c>
      <c r="DB1036">
        <v>0</v>
      </c>
      <c r="DC1036" t="s">
        <v>132</v>
      </c>
      <c r="DD1036" t="s">
        <v>133</v>
      </c>
      <c r="DG1036">
        <v>14718105</v>
      </c>
      <c r="DI1036">
        <v>0</v>
      </c>
      <c r="DJ1036">
        <v>0</v>
      </c>
      <c r="DK1036">
        <v>1</v>
      </c>
      <c r="DL1036">
        <v>0</v>
      </c>
      <c r="DM1036">
        <v>0</v>
      </c>
      <c r="DN1036">
        <v>0</v>
      </c>
      <c r="DO1036">
        <v>0</v>
      </c>
      <c r="DP1036">
        <v>1</v>
      </c>
      <c r="DQ1036">
        <v>0</v>
      </c>
      <c r="DR1036">
        <v>0</v>
      </c>
      <c r="DS1036">
        <v>0</v>
      </c>
    </row>
    <row r="1037" spans="1:123" x14ac:dyDescent="0.25">
      <c r="A1037" t="str">
        <f>"11/29/2023 20:26:55.712"</f>
        <v>11/29/2023 20:26:55.712</v>
      </c>
      <c r="C1037" t="str">
        <f t="shared" si="116"/>
        <v>FFDF53C0</v>
      </c>
      <c r="D1037" t="s">
        <v>138</v>
      </c>
      <c r="E1037">
        <v>3</v>
      </c>
      <c r="H1037">
        <v>160</v>
      </c>
      <c r="I1037" t="s">
        <v>124</v>
      </c>
      <c r="J1037" t="s">
        <v>139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>"20:26:55.313"</f>
        <v>20:26:55.313</v>
      </c>
      <c r="T1037" t="str">
        <f>"20:26:52.813"</f>
        <v>20:26:52.813</v>
      </c>
      <c r="U1037" t="str">
        <f t="shared" si="119"/>
        <v>AA0632</v>
      </c>
      <c r="V1037">
        <v>0</v>
      </c>
      <c r="W1037">
        <v>0</v>
      </c>
      <c r="X1037">
        <v>2</v>
      </c>
      <c r="Y1037">
        <v>0</v>
      </c>
      <c r="AA1037">
        <v>0</v>
      </c>
      <c r="AB1037">
        <v>9</v>
      </c>
      <c r="AC1037">
        <v>3</v>
      </c>
      <c r="AD1037">
        <v>0</v>
      </c>
      <c r="AE1037">
        <v>10</v>
      </c>
      <c r="AF1037" t="s">
        <v>126</v>
      </c>
      <c r="AG1037">
        <v>0</v>
      </c>
      <c r="AH1037">
        <v>0</v>
      </c>
      <c r="AI1037">
        <v>2</v>
      </c>
      <c r="AJ1037">
        <v>0</v>
      </c>
      <c r="AK1037" t="s">
        <v>632</v>
      </c>
      <c r="AL1037">
        <v>31.919231</v>
      </c>
      <c r="AM1037" t="s">
        <v>633</v>
      </c>
      <c r="AN1037">
        <v>-100.969634</v>
      </c>
      <c r="AQ1037" t="s">
        <v>129</v>
      </c>
      <c r="AR1037">
        <v>-52</v>
      </c>
      <c r="AS1037">
        <v>-21</v>
      </c>
      <c r="AT1037">
        <v>128</v>
      </c>
      <c r="BB1037" t="str">
        <f t="shared" si="120"/>
        <v>1200</v>
      </c>
      <c r="BC1037">
        <v>1</v>
      </c>
      <c r="BD1037" t="str">
        <f t="shared" si="117"/>
        <v xml:space="preserve">N745MB  </v>
      </c>
      <c r="BE1037">
        <v>1</v>
      </c>
      <c r="BG1037">
        <v>0</v>
      </c>
      <c r="BH1037">
        <v>0</v>
      </c>
      <c r="BI1037">
        <v>0</v>
      </c>
      <c r="BL1037" t="s">
        <v>130</v>
      </c>
      <c r="BM1037">
        <v>1</v>
      </c>
      <c r="BN1037">
        <v>0</v>
      </c>
      <c r="BO1037">
        <v>0</v>
      </c>
      <c r="BP1037">
        <v>0</v>
      </c>
      <c r="BT1037">
        <v>0</v>
      </c>
      <c r="BU1037">
        <v>0</v>
      </c>
      <c r="CE1037" t="str">
        <f>"20:26:55.319"</f>
        <v>20:26:55.319</v>
      </c>
      <c r="CF1037">
        <v>318515847</v>
      </c>
      <c r="CS1037">
        <v>0</v>
      </c>
      <c r="CT1037">
        <v>2</v>
      </c>
      <c r="CU1037">
        <v>0</v>
      </c>
      <c r="CV1037">
        <v>2</v>
      </c>
      <c r="CW1037">
        <v>0</v>
      </c>
      <c r="CX1037">
        <v>3</v>
      </c>
      <c r="CY1037">
        <v>7</v>
      </c>
      <c r="CZ1037" t="s">
        <v>131</v>
      </c>
      <c r="DA1037">
        <v>483</v>
      </c>
      <c r="DB1037">
        <v>1</v>
      </c>
      <c r="DC1037" t="s">
        <v>169</v>
      </c>
      <c r="DD1037" t="s">
        <v>170</v>
      </c>
      <c r="DG1037">
        <v>7384589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1</v>
      </c>
      <c r="DQ1037">
        <v>0</v>
      </c>
      <c r="DR1037">
        <v>0</v>
      </c>
      <c r="DS1037">
        <v>0</v>
      </c>
    </row>
    <row r="1038" spans="1:123" x14ac:dyDescent="0.25">
      <c r="A1038" t="str">
        <f>"11/29/2023 20:26:55.821"</f>
        <v>11/29/2023 20:26:55.821</v>
      </c>
      <c r="C1038" t="str">
        <f t="shared" si="116"/>
        <v>FFDF53C0</v>
      </c>
      <c r="D1038" t="s">
        <v>164</v>
      </c>
      <c r="E1038">
        <v>24</v>
      </c>
      <c r="F1038">
        <v>2024</v>
      </c>
      <c r="G1038" t="s">
        <v>165</v>
      </c>
      <c r="J1038" t="s">
        <v>166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>"20:26:55.313"</f>
        <v>20:26:55.313</v>
      </c>
      <c r="T1038" t="str">
        <f>"20:26:52.813"</f>
        <v>20:26:52.813</v>
      </c>
      <c r="U1038" t="str">
        <f t="shared" si="119"/>
        <v>AA0632</v>
      </c>
      <c r="V1038">
        <v>0</v>
      </c>
      <c r="W1038">
        <v>0</v>
      </c>
      <c r="X1038">
        <v>2</v>
      </c>
      <c r="Y1038">
        <v>0</v>
      </c>
      <c r="AA1038">
        <v>0</v>
      </c>
      <c r="AB1038">
        <v>9</v>
      </c>
      <c r="AC1038">
        <v>3</v>
      </c>
      <c r="AD1038">
        <v>0</v>
      </c>
      <c r="AE1038">
        <v>10</v>
      </c>
      <c r="AF1038" t="s">
        <v>126</v>
      </c>
      <c r="AG1038">
        <v>0</v>
      </c>
      <c r="AH1038">
        <v>0</v>
      </c>
      <c r="AI1038">
        <v>2</v>
      </c>
      <c r="AJ1038">
        <v>0</v>
      </c>
      <c r="AK1038" t="s">
        <v>632</v>
      </c>
      <c r="AL1038">
        <v>31.919231</v>
      </c>
      <c r="AM1038" t="s">
        <v>633</v>
      </c>
      <c r="AN1038">
        <v>-100.969634</v>
      </c>
      <c r="AQ1038" t="s">
        <v>129</v>
      </c>
      <c r="AR1038">
        <v>-52</v>
      </c>
      <c r="AS1038">
        <v>-21</v>
      </c>
      <c r="AT1038">
        <v>128</v>
      </c>
      <c r="BB1038" t="str">
        <f t="shared" si="120"/>
        <v>1200</v>
      </c>
      <c r="BC1038">
        <v>1</v>
      </c>
      <c r="BD1038" t="str">
        <f t="shared" si="117"/>
        <v xml:space="preserve">N745MB  </v>
      </c>
      <c r="BE1038">
        <v>1</v>
      </c>
      <c r="BG1038">
        <v>0</v>
      </c>
      <c r="BH1038">
        <v>0</v>
      </c>
      <c r="BI1038">
        <v>0</v>
      </c>
      <c r="BL1038" t="s">
        <v>130</v>
      </c>
      <c r="BM1038">
        <v>1</v>
      </c>
      <c r="BN1038">
        <v>0</v>
      </c>
      <c r="BO1038">
        <v>0</v>
      </c>
      <c r="BP1038">
        <v>0</v>
      </c>
      <c r="BT1038">
        <v>0</v>
      </c>
      <c r="BU1038">
        <v>0</v>
      </c>
      <c r="CE1038" t="str">
        <f>"20:26:55.319"</f>
        <v>20:26:55.319</v>
      </c>
      <c r="CF1038">
        <v>318515847</v>
      </c>
      <c r="CS1038">
        <v>0</v>
      </c>
      <c r="CT1038">
        <v>2</v>
      </c>
      <c r="CU1038">
        <v>0</v>
      </c>
      <c r="CV1038">
        <v>2</v>
      </c>
      <c r="CW1038">
        <v>0</v>
      </c>
      <c r="CX1038">
        <v>3</v>
      </c>
      <c r="CY1038">
        <v>7</v>
      </c>
      <c r="CZ1038" t="s">
        <v>131</v>
      </c>
      <c r="DA1038">
        <v>483</v>
      </c>
      <c r="DB1038">
        <v>1</v>
      </c>
      <c r="DC1038" t="s">
        <v>169</v>
      </c>
      <c r="DD1038" t="s">
        <v>170</v>
      </c>
      <c r="DG1038">
        <v>7384589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1</v>
      </c>
      <c r="DQ1038">
        <v>0</v>
      </c>
      <c r="DR1038">
        <v>0</v>
      </c>
      <c r="DS1038">
        <v>0</v>
      </c>
    </row>
    <row r="1039" spans="1:123" x14ac:dyDescent="0.25">
      <c r="A1039" t="str">
        <f>"11/29/2023 20:26:55.821"</f>
        <v>11/29/2023 20:26:55.821</v>
      </c>
      <c r="C1039" t="str">
        <f t="shared" si="116"/>
        <v>FFDF53C0</v>
      </c>
      <c r="D1039" t="s">
        <v>123</v>
      </c>
      <c r="E1039">
        <v>14</v>
      </c>
      <c r="F1039">
        <v>1014</v>
      </c>
      <c r="G1039" t="s">
        <v>124</v>
      </c>
      <c r="J1039" t="s">
        <v>125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>"20:26:55.313"</f>
        <v>20:26:55.313</v>
      </c>
      <c r="T1039" t="str">
        <f>"20:26:52.813"</f>
        <v>20:26:52.813</v>
      </c>
      <c r="U1039" t="str">
        <f t="shared" si="119"/>
        <v>AA0632</v>
      </c>
      <c r="V1039">
        <v>0</v>
      </c>
      <c r="W1039">
        <v>0</v>
      </c>
      <c r="X1039">
        <v>2</v>
      </c>
      <c r="Y1039">
        <v>0</v>
      </c>
      <c r="AA1039">
        <v>0</v>
      </c>
      <c r="AB1039">
        <v>9</v>
      </c>
      <c r="AC1039">
        <v>3</v>
      </c>
      <c r="AD1039">
        <v>0</v>
      </c>
      <c r="AE1039">
        <v>10</v>
      </c>
      <c r="AF1039" t="s">
        <v>126</v>
      </c>
      <c r="AG1039">
        <v>0</v>
      </c>
      <c r="AH1039">
        <v>0</v>
      </c>
      <c r="AI1039">
        <v>2</v>
      </c>
      <c r="AJ1039">
        <v>0</v>
      </c>
      <c r="AK1039" t="s">
        <v>632</v>
      </c>
      <c r="AL1039">
        <v>31.919231</v>
      </c>
      <c r="AM1039" t="s">
        <v>633</v>
      </c>
      <c r="AN1039">
        <v>-100.969634</v>
      </c>
      <c r="AQ1039" t="s">
        <v>129</v>
      </c>
      <c r="AR1039">
        <v>-52</v>
      </c>
      <c r="AS1039">
        <v>-21</v>
      </c>
      <c r="AT1039">
        <v>128</v>
      </c>
      <c r="BB1039" t="str">
        <f t="shared" si="120"/>
        <v>1200</v>
      </c>
      <c r="BC1039">
        <v>1</v>
      </c>
      <c r="BD1039" t="str">
        <f t="shared" si="117"/>
        <v xml:space="preserve">N745MB  </v>
      </c>
      <c r="BE1039">
        <v>1</v>
      </c>
      <c r="BG1039">
        <v>0</v>
      </c>
      <c r="BH1039">
        <v>0</v>
      </c>
      <c r="BI1039">
        <v>0</v>
      </c>
      <c r="BL1039" t="s">
        <v>130</v>
      </c>
      <c r="BM1039">
        <v>1</v>
      </c>
      <c r="BN1039">
        <v>0</v>
      </c>
      <c r="BO1039">
        <v>0</v>
      </c>
      <c r="BP1039">
        <v>0</v>
      </c>
      <c r="BT1039">
        <v>0</v>
      </c>
      <c r="BU1039">
        <v>0</v>
      </c>
      <c r="CE1039" t="str">
        <f>"20:26:55.319"</f>
        <v>20:26:55.319</v>
      </c>
      <c r="CF1039">
        <v>318515847</v>
      </c>
      <c r="CS1039">
        <v>0</v>
      </c>
      <c r="CT1039">
        <v>2</v>
      </c>
      <c r="CU1039">
        <v>0</v>
      </c>
      <c r="CV1039">
        <v>2</v>
      </c>
      <c r="CW1039">
        <v>0</v>
      </c>
      <c r="CX1039">
        <v>3</v>
      </c>
      <c r="CY1039">
        <v>7</v>
      </c>
      <c r="CZ1039" t="s">
        <v>131</v>
      </c>
      <c r="DA1039">
        <v>483</v>
      </c>
      <c r="DB1039">
        <v>1</v>
      </c>
      <c r="DC1039" t="s">
        <v>169</v>
      </c>
      <c r="DD1039" t="s">
        <v>170</v>
      </c>
      <c r="DG1039">
        <v>7384589</v>
      </c>
      <c r="DI1039">
        <v>0</v>
      </c>
      <c r="DJ1039">
        <v>0</v>
      </c>
      <c r="DK1039">
        <v>1</v>
      </c>
      <c r="DL1039">
        <v>0</v>
      </c>
      <c r="DM1039">
        <v>0</v>
      </c>
      <c r="DN1039">
        <v>0</v>
      </c>
      <c r="DO1039">
        <v>0</v>
      </c>
      <c r="DP1039">
        <v>1</v>
      </c>
      <c r="DQ1039">
        <v>0</v>
      </c>
      <c r="DR1039">
        <v>0</v>
      </c>
      <c r="DS1039">
        <v>0</v>
      </c>
    </row>
    <row r="1040" spans="1:123" x14ac:dyDescent="0.25">
      <c r="A1040" t="str">
        <f>"11/29/2023 20:26:56.915"</f>
        <v>11/29/2023 20:26:56.915</v>
      </c>
      <c r="C1040" t="str">
        <f t="shared" ref="C1040:C1103" si="123">"FFDF53C0"</f>
        <v>FFDF53C0</v>
      </c>
      <c r="D1040" t="s">
        <v>164</v>
      </c>
      <c r="E1040">
        <v>24</v>
      </c>
      <c r="F1040">
        <v>2024</v>
      </c>
      <c r="G1040" t="s">
        <v>165</v>
      </c>
      <c r="J1040" t="s">
        <v>166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>"20:26:56.344"</f>
        <v>20:26:56.344</v>
      </c>
      <c r="T1040" t="str">
        <f>"20:26:52.744"</f>
        <v>20:26:52.744</v>
      </c>
      <c r="U1040" t="str">
        <f t="shared" si="119"/>
        <v>AA0632</v>
      </c>
      <c r="V1040">
        <v>0</v>
      </c>
      <c r="W1040">
        <v>0</v>
      </c>
      <c r="X1040">
        <v>2</v>
      </c>
      <c r="Y1040">
        <v>0</v>
      </c>
      <c r="AA1040">
        <v>0</v>
      </c>
      <c r="AB1040">
        <v>9</v>
      </c>
      <c r="AC1040">
        <v>3</v>
      </c>
      <c r="AD1040">
        <v>0</v>
      </c>
      <c r="AE1040">
        <v>10</v>
      </c>
      <c r="AF1040" t="s">
        <v>126</v>
      </c>
      <c r="AG1040">
        <v>0</v>
      </c>
      <c r="AH1040">
        <v>0</v>
      </c>
      <c r="AI1040">
        <v>2</v>
      </c>
      <c r="AJ1040">
        <v>0</v>
      </c>
      <c r="AK1040" t="s">
        <v>632</v>
      </c>
      <c r="AL1040">
        <v>31.919231</v>
      </c>
      <c r="AM1040" t="s">
        <v>634</v>
      </c>
      <c r="AN1040">
        <v>-100.96991300000001</v>
      </c>
      <c r="AQ1040" t="s">
        <v>129</v>
      </c>
      <c r="AR1040">
        <v>-52</v>
      </c>
      <c r="AS1040">
        <v>-21</v>
      </c>
      <c r="AT1040">
        <v>128</v>
      </c>
      <c r="BB1040" t="str">
        <f t="shared" si="120"/>
        <v>1200</v>
      </c>
      <c r="BC1040">
        <v>1</v>
      </c>
      <c r="BD1040" t="str">
        <f t="shared" ref="BD1040:BD1103" si="124">"N745MB  "</f>
        <v xml:space="preserve">N745MB  </v>
      </c>
      <c r="BE1040">
        <v>1</v>
      </c>
      <c r="BG1040">
        <v>0</v>
      </c>
      <c r="BH1040">
        <v>0</v>
      </c>
      <c r="BI1040">
        <v>0</v>
      </c>
      <c r="BL1040" t="s">
        <v>130</v>
      </c>
      <c r="BM1040">
        <v>1</v>
      </c>
      <c r="BN1040">
        <v>0</v>
      </c>
      <c r="BO1040">
        <v>0</v>
      </c>
      <c r="BP1040">
        <v>0</v>
      </c>
      <c r="BT1040">
        <v>0</v>
      </c>
      <c r="BU1040">
        <v>0</v>
      </c>
      <c r="CE1040" t="str">
        <f>"20:26:56.344"</f>
        <v>20:26:56.344</v>
      </c>
      <c r="CF1040">
        <v>344449692</v>
      </c>
      <c r="CS1040">
        <v>0</v>
      </c>
      <c r="CT1040">
        <v>2</v>
      </c>
      <c r="CU1040">
        <v>0</v>
      </c>
      <c r="CV1040">
        <v>2</v>
      </c>
      <c r="CW1040">
        <v>0</v>
      </c>
      <c r="CX1040">
        <v>1</v>
      </c>
      <c r="CY1040">
        <v>7</v>
      </c>
      <c r="CZ1040" t="s">
        <v>131</v>
      </c>
      <c r="DA1040">
        <v>483</v>
      </c>
      <c r="DB1040">
        <v>1</v>
      </c>
      <c r="DC1040" t="s">
        <v>169</v>
      </c>
      <c r="DD1040" t="s">
        <v>170</v>
      </c>
      <c r="DG1040">
        <v>7384738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1</v>
      </c>
      <c r="DQ1040">
        <v>0</v>
      </c>
      <c r="DR1040">
        <v>0</v>
      </c>
      <c r="DS1040">
        <v>0</v>
      </c>
    </row>
    <row r="1041" spans="1:123" x14ac:dyDescent="0.25">
      <c r="A1041" t="str">
        <f>"11/29/2023 20:26:56.915"</f>
        <v>11/29/2023 20:26:56.915</v>
      </c>
      <c r="C1041" t="str">
        <f t="shared" si="123"/>
        <v>FFDF53C0</v>
      </c>
      <c r="D1041" t="s">
        <v>123</v>
      </c>
      <c r="E1041">
        <v>14</v>
      </c>
      <c r="F1041">
        <v>1014</v>
      </c>
      <c r="G1041" t="s">
        <v>124</v>
      </c>
      <c r="J1041" t="s">
        <v>125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"20:26:56.344"</f>
        <v>20:26:56.344</v>
      </c>
      <c r="T1041" t="str">
        <f>"20:26:52.744"</f>
        <v>20:26:52.744</v>
      </c>
      <c r="U1041" t="str">
        <f t="shared" si="119"/>
        <v>AA0632</v>
      </c>
      <c r="V1041">
        <v>0</v>
      </c>
      <c r="W1041">
        <v>0</v>
      </c>
      <c r="X1041">
        <v>2</v>
      </c>
      <c r="Y1041">
        <v>0</v>
      </c>
      <c r="AA1041">
        <v>0</v>
      </c>
      <c r="AB1041">
        <v>9</v>
      </c>
      <c r="AC1041">
        <v>3</v>
      </c>
      <c r="AD1041">
        <v>0</v>
      </c>
      <c r="AE1041">
        <v>10</v>
      </c>
      <c r="AF1041" t="s">
        <v>126</v>
      </c>
      <c r="AG1041">
        <v>0</v>
      </c>
      <c r="AH1041">
        <v>0</v>
      </c>
      <c r="AI1041">
        <v>2</v>
      </c>
      <c r="AJ1041">
        <v>0</v>
      </c>
      <c r="AK1041" t="s">
        <v>632</v>
      </c>
      <c r="AL1041">
        <v>31.919231</v>
      </c>
      <c r="AM1041" t="s">
        <v>634</v>
      </c>
      <c r="AN1041">
        <v>-100.96991300000001</v>
      </c>
      <c r="AQ1041" t="s">
        <v>129</v>
      </c>
      <c r="AR1041">
        <v>-52</v>
      </c>
      <c r="AS1041">
        <v>-21</v>
      </c>
      <c r="AT1041">
        <v>128</v>
      </c>
      <c r="BB1041" t="str">
        <f t="shared" si="120"/>
        <v>1200</v>
      </c>
      <c r="BC1041">
        <v>1</v>
      </c>
      <c r="BD1041" t="str">
        <f t="shared" si="124"/>
        <v xml:space="preserve">N745MB  </v>
      </c>
      <c r="BE1041">
        <v>1</v>
      </c>
      <c r="BG1041">
        <v>0</v>
      </c>
      <c r="BH1041">
        <v>0</v>
      </c>
      <c r="BI1041">
        <v>0</v>
      </c>
      <c r="BL1041" t="s">
        <v>130</v>
      </c>
      <c r="BM1041">
        <v>1</v>
      </c>
      <c r="BN1041">
        <v>0</v>
      </c>
      <c r="BO1041">
        <v>0</v>
      </c>
      <c r="BP1041">
        <v>0</v>
      </c>
      <c r="BT1041">
        <v>0</v>
      </c>
      <c r="BU1041">
        <v>0</v>
      </c>
      <c r="CE1041" t="str">
        <f>"20:26:56.344"</f>
        <v>20:26:56.344</v>
      </c>
      <c r="CF1041">
        <v>344449692</v>
      </c>
      <c r="CS1041">
        <v>0</v>
      </c>
      <c r="CT1041">
        <v>2</v>
      </c>
      <c r="CU1041">
        <v>0</v>
      </c>
      <c r="CV1041">
        <v>2</v>
      </c>
      <c r="CW1041">
        <v>0</v>
      </c>
      <c r="CX1041">
        <v>1</v>
      </c>
      <c r="CY1041">
        <v>7</v>
      </c>
      <c r="CZ1041" t="s">
        <v>131</v>
      </c>
      <c r="DA1041">
        <v>483</v>
      </c>
      <c r="DB1041">
        <v>1</v>
      </c>
      <c r="DC1041" t="s">
        <v>169</v>
      </c>
      <c r="DD1041" t="s">
        <v>170</v>
      </c>
      <c r="DG1041">
        <v>7384738</v>
      </c>
      <c r="DI1041">
        <v>0</v>
      </c>
      <c r="DJ1041">
        <v>0</v>
      </c>
      <c r="DK1041">
        <v>1</v>
      </c>
      <c r="DL1041">
        <v>0</v>
      </c>
      <c r="DM1041">
        <v>0</v>
      </c>
      <c r="DN1041">
        <v>0</v>
      </c>
      <c r="DO1041">
        <v>0</v>
      </c>
      <c r="DP1041">
        <v>1</v>
      </c>
      <c r="DQ1041">
        <v>0</v>
      </c>
      <c r="DR1041">
        <v>0</v>
      </c>
      <c r="DS1041">
        <v>0</v>
      </c>
    </row>
    <row r="1042" spans="1:123" x14ac:dyDescent="0.25">
      <c r="A1042" t="str">
        <f>"11/29/2023 20:26:56.915"</f>
        <v>11/29/2023 20:26:56.915</v>
      </c>
      <c r="C1042" t="str">
        <f t="shared" si="123"/>
        <v>FFDF53C0</v>
      </c>
      <c r="D1042" t="s">
        <v>138</v>
      </c>
      <c r="E1042">
        <v>3</v>
      </c>
      <c r="H1042">
        <v>160</v>
      </c>
      <c r="I1042" t="s">
        <v>124</v>
      </c>
      <c r="J1042" t="s">
        <v>139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"20:26:56.344"</f>
        <v>20:26:56.344</v>
      </c>
      <c r="T1042" t="str">
        <f>"20:26:52.744"</f>
        <v>20:26:52.744</v>
      </c>
      <c r="U1042" t="str">
        <f t="shared" si="119"/>
        <v>AA0632</v>
      </c>
      <c r="V1042">
        <v>0</v>
      </c>
      <c r="W1042">
        <v>0</v>
      </c>
      <c r="X1042">
        <v>2</v>
      </c>
      <c r="Y1042">
        <v>0</v>
      </c>
      <c r="AA1042">
        <v>0</v>
      </c>
      <c r="AB1042">
        <v>9</v>
      </c>
      <c r="AC1042">
        <v>3</v>
      </c>
      <c r="AD1042">
        <v>0</v>
      </c>
      <c r="AE1042">
        <v>10</v>
      </c>
      <c r="AF1042" t="s">
        <v>126</v>
      </c>
      <c r="AG1042">
        <v>0</v>
      </c>
      <c r="AH1042">
        <v>0</v>
      </c>
      <c r="AI1042">
        <v>2</v>
      </c>
      <c r="AJ1042">
        <v>0</v>
      </c>
      <c r="AK1042" t="s">
        <v>632</v>
      </c>
      <c r="AL1042">
        <v>31.919231</v>
      </c>
      <c r="AM1042" t="s">
        <v>634</v>
      </c>
      <c r="AN1042">
        <v>-100.96991300000001</v>
      </c>
      <c r="AQ1042" t="s">
        <v>129</v>
      </c>
      <c r="AR1042">
        <v>-52</v>
      </c>
      <c r="AS1042">
        <v>-21</v>
      </c>
      <c r="AT1042">
        <v>128</v>
      </c>
      <c r="BB1042" t="str">
        <f t="shared" si="120"/>
        <v>1200</v>
      </c>
      <c r="BC1042">
        <v>1</v>
      </c>
      <c r="BD1042" t="str">
        <f t="shared" si="124"/>
        <v xml:space="preserve">N745MB  </v>
      </c>
      <c r="BE1042">
        <v>1</v>
      </c>
      <c r="BG1042">
        <v>0</v>
      </c>
      <c r="BH1042">
        <v>0</v>
      </c>
      <c r="BI1042">
        <v>0</v>
      </c>
      <c r="BL1042" t="s">
        <v>130</v>
      </c>
      <c r="BM1042">
        <v>1</v>
      </c>
      <c r="BN1042">
        <v>0</v>
      </c>
      <c r="BO1042">
        <v>0</v>
      </c>
      <c r="BP1042">
        <v>0</v>
      </c>
      <c r="BT1042">
        <v>0</v>
      </c>
      <c r="BU1042">
        <v>0</v>
      </c>
      <c r="CE1042" t="str">
        <f>"20:26:56.344"</f>
        <v>20:26:56.344</v>
      </c>
      <c r="CF1042">
        <v>344449692</v>
      </c>
      <c r="CS1042">
        <v>0</v>
      </c>
      <c r="CT1042">
        <v>2</v>
      </c>
      <c r="CU1042">
        <v>0</v>
      </c>
      <c r="CV1042">
        <v>2</v>
      </c>
      <c r="CW1042">
        <v>0</v>
      </c>
      <c r="CX1042">
        <v>1</v>
      </c>
      <c r="CY1042">
        <v>7</v>
      </c>
      <c r="CZ1042" t="s">
        <v>131</v>
      </c>
      <c r="DA1042">
        <v>483</v>
      </c>
      <c r="DB1042">
        <v>1</v>
      </c>
      <c r="DC1042" t="s">
        <v>169</v>
      </c>
      <c r="DD1042" t="s">
        <v>170</v>
      </c>
      <c r="DG1042">
        <v>7384738</v>
      </c>
      <c r="DI1042">
        <v>0</v>
      </c>
      <c r="DJ1042">
        <v>0</v>
      </c>
      <c r="DK1042">
        <v>1</v>
      </c>
      <c r="DL1042">
        <v>0</v>
      </c>
      <c r="DM1042">
        <v>0</v>
      </c>
      <c r="DN1042">
        <v>0</v>
      </c>
      <c r="DO1042">
        <v>0</v>
      </c>
      <c r="DP1042">
        <v>1</v>
      </c>
      <c r="DQ1042">
        <v>0</v>
      </c>
      <c r="DR1042">
        <v>0</v>
      </c>
      <c r="DS1042">
        <v>0</v>
      </c>
    </row>
    <row r="1043" spans="1:123" x14ac:dyDescent="0.25">
      <c r="A1043" t="str">
        <f>"11/29/2023 20:26:57.743"</f>
        <v>11/29/2023 20:26:57.743</v>
      </c>
      <c r="C1043" t="str">
        <f t="shared" si="123"/>
        <v>FFDF53C0</v>
      </c>
      <c r="D1043" t="s">
        <v>123</v>
      </c>
      <c r="E1043">
        <v>14</v>
      </c>
      <c r="F1043">
        <v>1014</v>
      </c>
      <c r="G1043" t="s">
        <v>124</v>
      </c>
      <c r="J1043" t="s">
        <v>125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"20:26:57.352"</f>
        <v>20:26:57.352</v>
      </c>
      <c r="T1043" t="str">
        <f>"20:26:56.952"</f>
        <v>20:26:56.952</v>
      </c>
      <c r="U1043" t="str">
        <f t="shared" si="119"/>
        <v>AA0632</v>
      </c>
      <c r="V1043">
        <v>0</v>
      </c>
      <c r="W1043">
        <v>0</v>
      </c>
      <c r="X1043">
        <v>2</v>
      </c>
      <c r="Y1043">
        <v>0</v>
      </c>
      <c r="AA1043">
        <v>0</v>
      </c>
      <c r="AB1043">
        <v>9</v>
      </c>
      <c r="AC1043">
        <v>3</v>
      </c>
      <c r="AD1043">
        <v>0</v>
      </c>
      <c r="AE1043">
        <v>10</v>
      </c>
      <c r="AF1043" t="s">
        <v>126</v>
      </c>
      <c r="AG1043">
        <v>0</v>
      </c>
      <c r="AH1043">
        <v>0</v>
      </c>
      <c r="AI1043">
        <v>2</v>
      </c>
      <c r="AJ1043">
        <v>0</v>
      </c>
      <c r="AK1043" t="s">
        <v>635</v>
      </c>
      <c r="AL1043">
        <v>31.919295999999999</v>
      </c>
      <c r="AM1043" t="s">
        <v>636</v>
      </c>
      <c r="AN1043">
        <v>-100.970192</v>
      </c>
      <c r="AQ1043" t="s">
        <v>129</v>
      </c>
      <c r="AR1043">
        <v>-53</v>
      </c>
      <c r="AS1043">
        <v>4</v>
      </c>
      <c r="AT1043">
        <v>-64</v>
      </c>
      <c r="BB1043" t="str">
        <f t="shared" si="120"/>
        <v>1200</v>
      </c>
      <c r="BC1043">
        <v>1</v>
      </c>
      <c r="BD1043" t="str">
        <f t="shared" si="124"/>
        <v xml:space="preserve">N745MB  </v>
      </c>
      <c r="BE1043">
        <v>1</v>
      </c>
      <c r="BG1043">
        <v>0</v>
      </c>
      <c r="BH1043">
        <v>0</v>
      </c>
      <c r="BI1043">
        <v>0</v>
      </c>
      <c r="BL1043" t="s">
        <v>130</v>
      </c>
      <c r="BM1043">
        <v>1</v>
      </c>
      <c r="BN1043">
        <v>0</v>
      </c>
      <c r="BO1043">
        <v>0</v>
      </c>
      <c r="BP1043">
        <v>0</v>
      </c>
      <c r="BT1043">
        <v>0</v>
      </c>
      <c r="BU1043">
        <v>0</v>
      </c>
      <c r="CE1043" t="str">
        <f>"20:26:57.358"</f>
        <v>20:26:57.358</v>
      </c>
      <c r="CF1043">
        <v>358372395</v>
      </c>
      <c r="CS1043">
        <v>0</v>
      </c>
      <c r="CT1043">
        <v>2</v>
      </c>
      <c r="CU1043">
        <v>0</v>
      </c>
      <c r="CV1043">
        <v>2</v>
      </c>
      <c r="CW1043">
        <v>0</v>
      </c>
      <c r="CX1043">
        <v>5</v>
      </c>
      <c r="CY1043">
        <v>7</v>
      </c>
      <c r="CZ1043" t="s">
        <v>131</v>
      </c>
      <c r="DA1043">
        <v>116</v>
      </c>
      <c r="DB1043">
        <v>3</v>
      </c>
      <c r="DC1043" t="s">
        <v>132</v>
      </c>
      <c r="DD1043" t="s">
        <v>133</v>
      </c>
      <c r="DG1043">
        <v>8444846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1</v>
      </c>
      <c r="DQ1043">
        <v>0</v>
      </c>
      <c r="DR1043">
        <v>0</v>
      </c>
      <c r="DS1043">
        <v>0</v>
      </c>
    </row>
    <row r="1044" spans="1:123" x14ac:dyDescent="0.25">
      <c r="A1044" t="str">
        <f>"11/29/2023 20:26:57.743"</f>
        <v>11/29/2023 20:26:57.743</v>
      </c>
      <c r="C1044" t="str">
        <f t="shared" si="123"/>
        <v>FFDF53C0</v>
      </c>
      <c r="D1044" t="s">
        <v>123</v>
      </c>
      <c r="E1044">
        <v>1</v>
      </c>
      <c r="F1044">
        <v>1001</v>
      </c>
      <c r="G1044" t="s">
        <v>134</v>
      </c>
      <c r="J1044" t="s">
        <v>125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"20:26:57.352"</f>
        <v>20:26:57.352</v>
      </c>
      <c r="T1044" t="str">
        <f>"20:26:56.952"</f>
        <v>20:26:56.952</v>
      </c>
      <c r="U1044" t="str">
        <f t="shared" si="119"/>
        <v>AA0632</v>
      </c>
      <c r="V1044">
        <v>0</v>
      </c>
      <c r="W1044">
        <v>0</v>
      </c>
      <c r="X1044">
        <v>2</v>
      </c>
      <c r="Y1044">
        <v>0</v>
      </c>
      <c r="AA1044">
        <v>0</v>
      </c>
      <c r="AB1044">
        <v>9</v>
      </c>
      <c r="AC1044">
        <v>3</v>
      </c>
      <c r="AD1044">
        <v>0</v>
      </c>
      <c r="AE1044">
        <v>10</v>
      </c>
      <c r="AF1044" t="s">
        <v>126</v>
      </c>
      <c r="AG1044">
        <v>0</v>
      </c>
      <c r="AH1044">
        <v>0</v>
      </c>
      <c r="AI1044">
        <v>2</v>
      </c>
      <c r="AJ1044">
        <v>0</v>
      </c>
      <c r="AK1044" t="s">
        <v>635</v>
      </c>
      <c r="AL1044">
        <v>31.919295999999999</v>
      </c>
      <c r="AM1044" t="s">
        <v>636</v>
      </c>
      <c r="AN1044">
        <v>-100.970192</v>
      </c>
      <c r="AQ1044" t="s">
        <v>129</v>
      </c>
      <c r="AR1044">
        <v>-53</v>
      </c>
      <c r="AS1044">
        <v>4</v>
      </c>
      <c r="AT1044">
        <v>-64</v>
      </c>
      <c r="BB1044" t="str">
        <f t="shared" si="120"/>
        <v>1200</v>
      </c>
      <c r="BC1044">
        <v>1</v>
      </c>
      <c r="BD1044" t="str">
        <f t="shared" si="124"/>
        <v xml:space="preserve">N745MB  </v>
      </c>
      <c r="BE1044">
        <v>1</v>
      </c>
      <c r="BG1044">
        <v>0</v>
      </c>
      <c r="BH1044">
        <v>0</v>
      </c>
      <c r="BI1044">
        <v>0</v>
      </c>
      <c r="BL1044" t="s">
        <v>130</v>
      </c>
      <c r="BM1044">
        <v>1</v>
      </c>
      <c r="BN1044">
        <v>0</v>
      </c>
      <c r="BO1044">
        <v>0</v>
      </c>
      <c r="BP1044">
        <v>0</v>
      </c>
      <c r="BT1044">
        <v>0</v>
      </c>
      <c r="BU1044">
        <v>0</v>
      </c>
      <c r="CE1044" t="str">
        <f>"20:26:57.358"</f>
        <v>20:26:57.358</v>
      </c>
      <c r="CF1044">
        <v>358372395</v>
      </c>
      <c r="CS1044">
        <v>0</v>
      </c>
      <c r="CT1044">
        <v>2</v>
      </c>
      <c r="CU1044">
        <v>0</v>
      </c>
      <c r="CV1044">
        <v>2</v>
      </c>
      <c r="CW1044">
        <v>0</v>
      </c>
      <c r="CX1044">
        <v>5</v>
      </c>
      <c r="CY1044">
        <v>7</v>
      </c>
      <c r="CZ1044" t="s">
        <v>131</v>
      </c>
      <c r="DA1044">
        <v>116</v>
      </c>
      <c r="DB1044">
        <v>3</v>
      </c>
      <c r="DC1044" t="s">
        <v>132</v>
      </c>
      <c r="DD1044" t="s">
        <v>133</v>
      </c>
      <c r="DG1044">
        <v>8444846</v>
      </c>
      <c r="DI1044">
        <v>0</v>
      </c>
      <c r="DJ1044">
        <v>0</v>
      </c>
      <c r="DK1044">
        <v>1</v>
      </c>
      <c r="DL1044">
        <v>0</v>
      </c>
      <c r="DM1044">
        <v>0</v>
      </c>
      <c r="DN1044">
        <v>0</v>
      </c>
      <c r="DO1044">
        <v>0</v>
      </c>
      <c r="DP1044">
        <v>1</v>
      </c>
      <c r="DQ1044">
        <v>0</v>
      </c>
      <c r="DR1044">
        <v>0</v>
      </c>
      <c r="DS1044">
        <v>0</v>
      </c>
    </row>
    <row r="1045" spans="1:123" x14ac:dyDescent="0.25">
      <c r="A1045" t="str">
        <f>"11/29/2023 20:26:57.743"</f>
        <v>11/29/2023 20:26:57.743</v>
      </c>
      <c r="C1045" t="str">
        <f t="shared" si="123"/>
        <v>FFDF53C0</v>
      </c>
      <c r="D1045" t="s">
        <v>138</v>
      </c>
      <c r="E1045">
        <v>3</v>
      </c>
      <c r="H1045">
        <v>160</v>
      </c>
      <c r="I1045" t="s">
        <v>124</v>
      </c>
      <c r="J1045" t="s">
        <v>139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"20:26:57.352"</f>
        <v>20:26:57.352</v>
      </c>
      <c r="T1045" t="str">
        <f>"20:26:56.952"</f>
        <v>20:26:56.952</v>
      </c>
      <c r="U1045" t="str">
        <f t="shared" si="119"/>
        <v>AA0632</v>
      </c>
      <c r="V1045">
        <v>0</v>
      </c>
      <c r="W1045">
        <v>0</v>
      </c>
      <c r="X1045">
        <v>2</v>
      </c>
      <c r="Y1045">
        <v>0</v>
      </c>
      <c r="AA1045">
        <v>0</v>
      </c>
      <c r="AB1045">
        <v>9</v>
      </c>
      <c r="AC1045">
        <v>3</v>
      </c>
      <c r="AD1045">
        <v>0</v>
      </c>
      <c r="AE1045">
        <v>10</v>
      </c>
      <c r="AF1045" t="s">
        <v>126</v>
      </c>
      <c r="AG1045">
        <v>0</v>
      </c>
      <c r="AH1045">
        <v>0</v>
      </c>
      <c r="AI1045">
        <v>2</v>
      </c>
      <c r="AJ1045">
        <v>0</v>
      </c>
      <c r="AK1045" t="s">
        <v>635</v>
      </c>
      <c r="AL1045">
        <v>31.919295999999999</v>
      </c>
      <c r="AM1045" t="s">
        <v>636</v>
      </c>
      <c r="AN1045">
        <v>-100.970192</v>
      </c>
      <c r="AQ1045" t="s">
        <v>129</v>
      </c>
      <c r="AR1045">
        <v>-53</v>
      </c>
      <c r="AS1045">
        <v>4</v>
      </c>
      <c r="AT1045">
        <v>-64</v>
      </c>
      <c r="BB1045" t="str">
        <f t="shared" si="120"/>
        <v>1200</v>
      </c>
      <c r="BC1045">
        <v>1</v>
      </c>
      <c r="BD1045" t="str">
        <f t="shared" si="124"/>
        <v xml:space="preserve">N745MB  </v>
      </c>
      <c r="BE1045">
        <v>1</v>
      </c>
      <c r="BG1045">
        <v>0</v>
      </c>
      <c r="BH1045">
        <v>0</v>
      </c>
      <c r="BI1045">
        <v>0</v>
      </c>
      <c r="BL1045" t="s">
        <v>130</v>
      </c>
      <c r="BM1045">
        <v>1</v>
      </c>
      <c r="BN1045">
        <v>0</v>
      </c>
      <c r="BO1045">
        <v>0</v>
      </c>
      <c r="BP1045">
        <v>0</v>
      </c>
      <c r="BT1045">
        <v>0</v>
      </c>
      <c r="BU1045">
        <v>0</v>
      </c>
      <c r="CE1045" t="str">
        <f>"20:26:57.358"</f>
        <v>20:26:57.358</v>
      </c>
      <c r="CF1045">
        <v>358372395</v>
      </c>
      <c r="CS1045">
        <v>0</v>
      </c>
      <c r="CT1045">
        <v>2</v>
      </c>
      <c r="CU1045">
        <v>0</v>
      </c>
      <c r="CV1045">
        <v>2</v>
      </c>
      <c r="CW1045">
        <v>0</v>
      </c>
      <c r="CX1045">
        <v>5</v>
      </c>
      <c r="CY1045">
        <v>7</v>
      </c>
      <c r="CZ1045" t="s">
        <v>131</v>
      </c>
      <c r="DA1045">
        <v>116</v>
      </c>
      <c r="DB1045">
        <v>3</v>
      </c>
      <c r="DC1045" t="s">
        <v>132</v>
      </c>
      <c r="DD1045" t="s">
        <v>133</v>
      </c>
      <c r="DG1045">
        <v>8444846</v>
      </c>
      <c r="DI1045">
        <v>0</v>
      </c>
      <c r="DJ1045">
        <v>0</v>
      </c>
      <c r="DK1045">
        <v>1</v>
      </c>
      <c r="DL1045">
        <v>0</v>
      </c>
      <c r="DM1045">
        <v>0</v>
      </c>
      <c r="DN1045">
        <v>0</v>
      </c>
      <c r="DO1045">
        <v>0</v>
      </c>
      <c r="DP1045">
        <v>1</v>
      </c>
      <c r="DQ1045">
        <v>0</v>
      </c>
      <c r="DR1045">
        <v>0</v>
      </c>
      <c r="DS1045">
        <v>0</v>
      </c>
    </row>
    <row r="1046" spans="1:123" x14ac:dyDescent="0.25">
      <c r="A1046" t="str">
        <f>"11/29/2023 20:26:57.743"</f>
        <v>11/29/2023 20:26:57.743</v>
      </c>
      <c r="C1046" t="str">
        <f t="shared" si="123"/>
        <v>FFDF53C0</v>
      </c>
      <c r="D1046" t="s">
        <v>135</v>
      </c>
      <c r="E1046">
        <v>31</v>
      </c>
      <c r="H1046">
        <v>285</v>
      </c>
      <c r="I1046" t="s">
        <v>136</v>
      </c>
      <c r="J1046" t="s">
        <v>137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>"20:26:57.352"</f>
        <v>20:26:57.352</v>
      </c>
      <c r="T1046" t="str">
        <f>"20:26:56.952"</f>
        <v>20:26:56.952</v>
      </c>
      <c r="U1046" t="str">
        <f t="shared" si="119"/>
        <v>AA0632</v>
      </c>
      <c r="V1046">
        <v>0</v>
      </c>
      <c r="W1046">
        <v>0</v>
      </c>
      <c r="X1046">
        <v>2</v>
      </c>
      <c r="Y1046">
        <v>0</v>
      </c>
      <c r="AA1046">
        <v>0</v>
      </c>
      <c r="AB1046">
        <v>9</v>
      </c>
      <c r="AC1046">
        <v>3</v>
      </c>
      <c r="AD1046">
        <v>0</v>
      </c>
      <c r="AE1046">
        <v>10</v>
      </c>
      <c r="AF1046" t="s">
        <v>126</v>
      </c>
      <c r="AG1046">
        <v>0</v>
      </c>
      <c r="AH1046">
        <v>0</v>
      </c>
      <c r="AI1046">
        <v>2</v>
      </c>
      <c r="AJ1046">
        <v>0</v>
      </c>
      <c r="AK1046" t="s">
        <v>635</v>
      </c>
      <c r="AL1046">
        <v>31.919295999999999</v>
      </c>
      <c r="AM1046" t="s">
        <v>636</v>
      </c>
      <c r="AN1046">
        <v>-100.970192</v>
      </c>
      <c r="AQ1046" t="s">
        <v>129</v>
      </c>
      <c r="AR1046">
        <v>-53</v>
      </c>
      <c r="AS1046">
        <v>4</v>
      </c>
      <c r="AT1046">
        <v>-64</v>
      </c>
      <c r="BB1046" t="str">
        <f t="shared" si="120"/>
        <v>1200</v>
      </c>
      <c r="BC1046">
        <v>1</v>
      </c>
      <c r="BD1046" t="str">
        <f t="shared" si="124"/>
        <v xml:space="preserve">N745MB  </v>
      </c>
      <c r="BE1046">
        <v>1</v>
      </c>
      <c r="BG1046">
        <v>0</v>
      </c>
      <c r="BH1046">
        <v>0</v>
      </c>
      <c r="BI1046">
        <v>0</v>
      </c>
      <c r="BL1046" t="s">
        <v>130</v>
      </c>
      <c r="BM1046">
        <v>1</v>
      </c>
      <c r="BN1046">
        <v>0</v>
      </c>
      <c r="BO1046">
        <v>0</v>
      </c>
      <c r="BP1046">
        <v>0</v>
      </c>
      <c r="BT1046">
        <v>0</v>
      </c>
      <c r="BU1046">
        <v>0</v>
      </c>
      <c r="CE1046" t="str">
        <f>"20:26:57.358"</f>
        <v>20:26:57.358</v>
      </c>
      <c r="CF1046">
        <v>358372395</v>
      </c>
      <c r="CS1046">
        <v>0</v>
      </c>
      <c r="CT1046">
        <v>2</v>
      </c>
      <c r="CU1046">
        <v>0</v>
      </c>
      <c r="CV1046">
        <v>2</v>
      </c>
      <c r="CW1046">
        <v>0</v>
      </c>
      <c r="CX1046">
        <v>5</v>
      </c>
      <c r="CY1046">
        <v>7</v>
      </c>
      <c r="CZ1046" t="s">
        <v>131</v>
      </c>
      <c r="DA1046">
        <v>116</v>
      </c>
      <c r="DB1046">
        <v>3</v>
      </c>
      <c r="DC1046" t="s">
        <v>132</v>
      </c>
      <c r="DD1046" t="s">
        <v>133</v>
      </c>
      <c r="DG1046">
        <v>8444846</v>
      </c>
      <c r="DI1046">
        <v>0</v>
      </c>
      <c r="DJ1046">
        <v>0</v>
      </c>
      <c r="DK1046">
        <v>1</v>
      </c>
      <c r="DL1046">
        <v>0</v>
      </c>
      <c r="DM1046">
        <v>0</v>
      </c>
      <c r="DN1046">
        <v>0</v>
      </c>
      <c r="DO1046">
        <v>0</v>
      </c>
      <c r="DP1046">
        <v>1</v>
      </c>
      <c r="DQ1046">
        <v>0</v>
      </c>
      <c r="DR1046">
        <v>0</v>
      </c>
      <c r="DS1046">
        <v>0</v>
      </c>
    </row>
    <row r="1047" spans="1:123" x14ac:dyDescent="0.25">
      <c r="A1047" t="str">
        <f>"11/29/2023 20:26:59.259"</f>
        <v>11/29/2023 20:26:59.259</v>
      </c>
      <c r="C1047" t="str">
        <f t="shared" si="123"/>
        <v>FFDF53C0</v>
      </c>
      <c r="D1047" t="s">
        <v>123</v>
      </c>
      <c r="E1047">
        <v>14</v>
      </c>
      <c r="F1047">
        <v>1014</v>
      </c>
      <c r="G1047" t="s">
        <v>124</v>
      </c>
      <c r="J1047" t="s">
        <v>125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>"20:26:58.906"</f>
        <v>20:26:58.906</v>
      </c>
      <c r="T1047" t="str">
        <f>"20:26:58.606"</f>
        <v>20:26:58.606</v>
      </c>
      <c r="U1047" t="str">
        <f t="shared" si="119"/>
        <v>AA0632</v>
      </c>
      <c r="V1047">
        <v>0</v>
      </c>
      <c r="W1047">
        <v>0</v>
      </c>
      <c r="X1047">
        <v>2</v>
      </c>
      <c r="Y1047">
        <v>0</v>
      </c>
      <c r="AA1047">
        <v>0</v>
      </c>
      <c r="AB1047">
        <v>9</v>
      </c>
      <c r="AC1047">
        <v>3</v>
      </c>
      <c r="AD1047">
        <v>0</v>
      </c>
      <c r="AE1047">
        <v>10</v>
      </c>
      <c r="AF1047" t="s">
        <v>126</v>
      </c>
      <c r="AG1047">
        <v>0</v>
      </c>
      <c r="AH1047">
        <v>0</v>
      </c>
      <c r="AI1047">
        <v>2</v>
      </c>
      <c r="AJ1047">
        <v>0</v>
      </c>
      <c r="AK1047" t="s">
        <v>637</v>
      </c>
      <c r="AL1047">
        <v>31.919381999999999</v>
      </c>
      <c r="AM1047" t="s">
        <v>606</v>
      </c>
      <c r="AN1047">
        <v>-100.970643</v>
      </c>
      <c r="AQ1047" t="s">
        <v>129</v>
      </c>
      <c r="AR1047">
        <v>-49</v>
      </c>
      <c r="AS1047">
        <v>12</v>
      </c>
      <c r="AT1047">
        <v>-64</v>
      </c>
      <c r="BB1047" t="str">
        <f t="shared" si="120"/>
        <v>1200</v>
      </c>
      <c r="BC1047">
        <v>1</v>
      </c>
      <c r="BD1047" t="str">
        <f t="shared" si="124"/>
        <v xml:space="preserve">N745MB  </v>
      </c>
      <c r="BE1047">
        <v>1</v>
      </c>
      <c r="BG1047">
        <v>0</v>
      </c>
      <c r="BH1047">
        <v>0</v>
      </c>
      <c r="BI1047">
        <v>0</v>
      </c>
      <c r="BL1047" t="s">
        <v>130</v>
      </c>
      <c r="BM1047">
        <v>1</v>
      </c>
      <c r="BN1047">
        <v>0</v>
      </c>
      <c r="BO1047">
        <v>0</v>
      </c>
      <c r="BP1047">
        <v>0</v>
      </c>
      <c r="BT1047">
        <v>0</v>
      </c>
      <c r="BU1047">
        <v>0</v>
      </c>
      <c r="CE1047" t="str">
        <f>"20:26:58.912"</f>
        <v>20:26:58.912</v>
      </c>
      <c r="CF1047">
        <v>912270729</v>
      </c>
      <c r="CS1047">
        <v>0</v>
      </c>
      <c r="CT1047">
        <v>2</v>
      </c>
      <c r="CU1047">
        <v>0</v>
      </c>
      <c r="CV1047">
        <v>2</v>
      </c>
      <c r="CW1047">
        <v>0</v>
      </c>
      <c r="CX1047">
        <v>6</v>
      </c>
      <c r="CY1047">
        <v>7</v>
      </c>
      <c r="CZ1047" t="s">
        <v>131</v>
      </c>
      <c r="DA1047">
        <v>116</v>
      </c>
      <c r="DB1047">
        <v>0</v>
      </c>
      <c r="DC1047" t="s">
        <v>132</v>
      </c>
      <c r="DD1047" t="s">
        <v>133</v>
      </c>
      <c r="DG1047">
        <v>14721765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1</v>
      </c>
      <c r="DQ1047">
        <v>0</v>
      </c>
      <c r="DR1047">
        <v>0</v>
      </c>
      <c r="DS1047">
        <v>0</v>
      </c>
    </row>
    <row r="1048" spans="1:123" x14ac:dyDescent="0.25">
      <c r="A1048" t="str">
        <f>"11/29/2023 20:26:59.259"</f>
        <v>11/29/2023 20:26:59.259</v>
      </c>
      <c r="C1048" t="str">
        <f t="shared" si="123"/>
        <v>FFDF53C0</v>
      </c>
      <c r="D1048" t="s">
        <v>164</v>
      </c>
      <c r="E1048">
        <v>24</v>
      </c>
      <c r="F1048">
        <v>2024</v>
      </c>
      <c r="G1048" t="s">
        <v>165</v>
      </c>
      <c r="J1048" t="s">
        <v>166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>"20:26:58.906"</f>
        <v>20:26:58.906</v>
      </c>
      <c r="U1048" t="str">
        <f t="shared" si="119"/>
        <v>AA0632</v>
      </c>
      <c r="V1048">
        <v>0</v>
      </c>
      <c r="W1048">
        <v>0</v>
      </c>
      <c r="X1048">
        <v>2</v>
      </c>
      <c r="Y1048">
        <v>0</v>
      </c>
      <c r="AA1048">
        <v>0</v>
      </c>
      <c r="AB1048">
        <v>9</v>
      </c>
      <c r="AC1048">
        <v>3</v>
      </c>
      <c r="AD1048">
        <v>0</v>
      </c>
      <c r="AE1048">
        <v>10</v>
      </c>
      <c r="AF1048" t="s">
        <v>126</v>
      </c>
      <c r="AG1048">
        <v>0</v>
      </c>
      <c r="AH1048">
        <v>0</v>
      </c>
      <c r="AI1048">
        <v>2</v>
      </c>
      <c r="AJ1048">
        <v>0</v>
      </c>
      <c r="AK1048" t="s">
        <v>637</v>
      </c>
      <c r="AL1048">
        <v>31.919381999999999</v>
      </c>
      <c r="AM1048" t="s">
        <v>606</v>
      </c>
      <c r="AN1048">
        <v>-100.970643</v>
      </c>
      <c r="AQ1048" t="s">
        <v>129</v>
      </c>
      <c r="AT1048">
        <v>128</v>
      </c>
      <c r="BB1048" t="str">
        <f t="shared" si="120"/>
        <v>1200</v>
      </c>
      <c r="BC1048">
        <v>1</v>
      </c>
      <c r="BD1048" t="str">
        <f t="shared" si="124"/>
        <v xml:space="preserve">N745MB  </v>
      </c>
      <c r="BE1048">
        <v>1</v>
      </c>
      <c r="BG1048">
        <v>0</v>
      </c>
      <c r="BH1048">
        <v>0</v>
      </c>
      <c r="BI1048">
        <v>0</v>
      </c>
      <c r="BL1048" t="s">
        <v>130</v>
      </c>
      <c r="BM1048">
        <v>1</v>
      </c>
      <c r="BN1048">
        <v>0</v>
      </c>
      <c r="BO1048">
        <v>0</v>
      </c>
      <c r="BP1048">
        <v>0</v>
      </c>
      <c r="BT1048">
        <v>0</v>
      </c>
      <c r="BU1048">
        <v>0</v>
      </c>
      <c r="CE1048" t="str">
        <f>"20:26:58.912"</f>
        <v>20:26:58.912</v>
      </c>
      <c r="CF1048">
        <v>912276095</v>
      </c>
      <c r="CS1048">
        <v>0</v>
      </c>
      <c r="CT1048">
        <v>2</v>
      </c>
      <c r="CU1048">
        <v>0</v>
      </c>
      <c r="CV1048">
        <v>2</v>
      </c>
      <c r="CW1048">
        <v>0</v>
      </c>
      <c r="CX1048">
        <v>4</v>
      </c>
      <c r="CY1048">
        <v>7</v>
      </c>
      <c r="CZ1048" t="s">
        <v>131</v>
      </c>
      <c r="DA1048">
        <v>483</v>
      </c>
      <c r="DB1048">
        <v>1</v>
      </c>
      <c r="DC1048" t="s">
        <v>169</v>
      </c>
      <c r="DD1048" t="s">
        <v>170</v>
      </c>
      <c r="DG1048">
        <v>7385075</v>
      </c>
      <c r="DI1048">
        <v>0</v>
      </c>
      <c r="DJ1048">
        <v>0</v>
      </c>
      <c r="DK1048">
        <v>1</v>
      </c>
      <c r="DL1048">
        <v>0</v>
      </c>
      <c r="DM1048">
        <v>0</v>
      </c>
      <c r="DN1048">
        <v>0</v>
      </c>
      <c r="DO1048">
        <v>0</v>
      </c>
      <c r="DP1048">
        <v>1</v>
      </c>
      <c r="DQ1048">
        <v>0</v>
      </c>
      <c r="DR1048">
        <v>0</v>
      </c>
      <c r="DS1048">
        <v>0</v>
      </c>
    </row>
    <row r="1049" spans="1:123" x14ac:dyDescent="0.25">
      <c r="A1049" t="str">
        <f>"11/29/2023 20:26:59.259"</f>
        <v>11/29/2023 20:26:59.259</v>
      </c>
      <c r="C1049" t="str">
        <f t="shared" si="123"/>
        <v>FFDF53C0</v>
      </c>
      <c r="D1049" t="s">
        <v>123</v>
      </c>
      <c r="E1049">
        <v>1</v>
      </c>
      <c r="F1049">
        <v>1001</v>
      </c>
      <c r="G1049" t="s">
        <v>134</v>
      </c>
      <c r="J1049" t="s">
        <v>125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>"20:26:58.906"</f>
        <v>20:26:58.906</v>
      </c>
      <c r="T1049" t="str">
        <f>"20:26:58.606"</f>
        <v>20:26:58.606</v>
      </c>
      <c r="U1049" t="str">
        <f t="shared" si="119"/>
        <v>AA0632</v>
      </c>
      <c r="V1049">
        <v>0</v>
      </c>
      <c r="W1049">
        <v>0</v>
      </c>
      <c r="X1049">
        <v>2</v>
      </c>
      <c r="Y1049">
        <v>0</v>
      </c>
      <c r="AA1049">
        <v>0</v>
      </c>
      <c r="AB1049">
        <v>9</v>
      </c>
      <c r="AC1049">
        <v>3</v>
      </c>
      <c r="AD1049">
        <v>0</v>
      </c>
      <c r="AE1049">
        <v>10</v>
      </c>
      <c r="AF1049" t="s">
        <v>126</v>
      </c>
      <c r="AG1049">
        <v>0</v>
      </c>
      <c r="AH1049">
        <v>0</v>
      </c>
      <c r="AI1049">
        <v>2</v>
      </c>
      <c r="AJ1049">
        <v>0</v>
      </c>
      <c r="AK1049" t="s">
        <v>637</v>
      </c>
      <c r="AL1049">
        <v>31.919381999999999</v>
      </c>
      <c r="AM1049" t="s">
        <v>606</v>
      </c>
      <c r="AN1049">
        <v>-100.970643</v>
      </c>
      <c r="AQ1049" t="s">
        <v>129</v>
      </c>
      <c r="AR1049">
        <v>-49</v>
      </c>
      <c r="AS1049">
        <v>12</v>
      </c>
      <c r="AT1049">
        <v>-64</v>
      </c>
      <c r="BB1049" t="str">
        <f t="shared" si="120"/>
        <v>1200</v>
      </c>
      <c r="BC1049">
        <v>1</v>
      </c>
      <c r="BD1049" t="str">
        <f t="shared" si="124"/>
        <v xml:space="preserve">N745MB  </v>
      </c>
      <c r="BE1049">
        <v>1</v>
      </c>
      <c r="BG1049">
        <v>0</v>
      </c>
      <c r="BH1049">
        <v>0</v>
      </c>
      <c r="BI1049">
        <v>0</v>
      </c>
      <c r="BL1049" t="s">
        <v>130</v>
      </c>
      <c r="BM1049">
        <v>1</v>
      </c>
      <c r="BN1049">
        <v>0</v>
      </c>
      <c r="BO1049">
        <v>0</v>
      </c>
      <c r="BP1049">
        <v>0</v>
      </c>
      <c r="BT1049">
        <v>0</v>
      </c>
      <c r="BU1049">
        <v>0</v>
      </c>
      <c r="CE1049" t="str">
        <f>"20:26:58.912"</f>
        <v>20:26:58.912</v>
      </c>
      <c r="CF1049">
        <v>912270729</v>
      </c>
      <c r="CS1049">
        <v>0</v>
      </c>
      <c r="CT1049">
        <v>2</v>
      </c>
      <c r="CU1049">
        <v>0</v>
      </c>
      <c r="CV1049">
        <v>2</v>
      </c>
      <c r="CW1049">
        <v>0</v>
      </c>
      <c r="CX1049">
        <v>6</v>
      </c>
      <c r="CY1049">
        <v>7</v>
      </c>
      <c r="CZ1049" t="s">
        <v>131</v>
      </c>
      <c r="DA1049">
        <v>116</v>
      </c>
      <c r="DB1049">
        <v>0</v>
      </c>
      <c r="DC1049" t="s">
        <v>132</v>
      </c>
      <c r="DD1049" t="s">
        <v>133</v>
      </c>
      <c r="DG1049">
        <v>14721765</v>
      </c>
      <c r="DI1049">
        <v>0</v>
      </c>
      <c r="DJ1049">
        <v>0</v>
      </c>
      <c r="DK1049">
        <v>1</v>
      </c>
      <c r="DL1049">
        <v>0</v>
      </c>
      <c r="DM1049">
        <v>0</v>
      </c>
      <c r="DN1049">
        <v>0</v>
      </c>
      <c r="DO1049">
        <v>0</v>
      </c>
      <c r="DP1049">
        <v>1</v>
      </c>
      <c r="DQ1049">
        <v>0</v>
      </c>
      <c r="DR1049">
        <v>0</v>
      </c>
      <c r="DS1049">
        <v>0</v>
      </c>
    </row>
    <row r="1050" spans="1:123" x14ac:dyDescent="0.25">
      <c r="A1050" t="str">
        <f>"11/29/2023 20:26:59.259"</f>
        <v>11/29/2023 20:26:59.259</v>
      </c>
      <c r="C1050" t="str">
        <f t="shared" si="123"/>
        <v>FFDF53C0</v>
      </c>
      <c r="D1050" t="s">
        <v>138</v>
      </c>
      <c r="E1050">
        <v>3</v>
      </c>
      <c r="H1050">
        <v>160</v>
      </c>
      <c r="I1050" t="s">
        <v>124</v>
      </c>
      <c r="J1050" t="s">
        <v>139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>"20:26:58.906"</f>
        <v>20:26:58.906</v>
      </c>
      <c r="T1050" t="str">
        <f>"20:26:58.606"</f>
        <v>20:26:58.606</v>
      </c>
      <c r="U1050" t="str">
        <f t="shared" si="119"/>
        <v>AA0632</v>
      </c>
      <c r="V1050">
        <v>0</v>
      </c>
      <c r="W1050">
        <v>0</v>
      </c>
      <c r="X1050">
        <v>2</v>
      </c>
      <c r="Y1050">
        <v>0</v>
      </c>
      <c r="AA1050">
        <v>0</v>
      </c>
      <c r="AB1050">
        <v>9</v>
      </c>
      <c r="AC1050">
        <v>3</v>
      </c>
      <c r="AD1050">
        <v>0</v>
      </c>
      <c r="AE1050">
        <v>10</v>
      </c>
      <c r="AF1050" t="s">
        <v>126</v>
      </c>
      <c r="AG1050">
        <v>0</v>
      </c>
      <c r="AH1050">
        <v>0</v>
      </c>
      <c r="AI1050">
        <v>2</v>
      </c>
      <c r="AJ1050">
        <v>0</v>
      </c>
      <c r="AK1050" t="s">
        <v>637</v>
      </c>
      <c r="AL1050">
        <v>31.919381999999999</v>
      </c>
      <c r="AM1050" t="s">
        <v>606</v>
      </c>
      <c r="AN1050">
        <v>-100.970643</v>
      </c>
      <c r="AQ1050" t="s">
        <v>129</v>
      </c>
      <c r="AR1050">
        <v>-49</v>
      </c>
      <c r="AS1050">
        <v>12</v>
      </c>
      <c r="AT1050">
        <v>-64</v>
      </c>
      <c r="BB1050" t="str">
        <f t="shared" si="120"/>
        <v>1200</v>
      </c>
      <c r="BC1050">
        <v>1</v>
      </c>
      <c r="BD1050" t="str">
        <f t="shared" si="124"/>
        <v xml:space="preserve">N745MB  </v>
      </c>
      <c r="BE1050">
        <v>1</v>
      </c>
      <c r="BG1050">
        <v>0</v>
      </c>
      <c r="BH1050">
        <v>0</v>
      </c>
      <c r="BI1050">
        <v>0</v>
      </c>
      <c r="BL1050" t="s">
        <v>130</v>
      </c>
      <c r="BM1050">
        <v>1</v>
      </c>
      <c r="BN1050">
        <v>0</v>
      </c>
      <c r="BO1050">
        <v>0</v>
      </c>
      <c r="BP1050">
        <v>0</v>
      </c>
      <c r="BT1050">
        <v>0</v>
      </c>
      <c r="BU1050">
        <v>0</v>
      </c>
      <c r="CE1050" t="str">
        <f>"20:26:58.912"</f>
        <v>20:26:58.912</v>
      </c>
      <c r="CF1050">
        <v>912270729</v>
      </c>
      <c r="CS1050">
        <v>0</v>
      </c>
      <c r="CT1050">
        <v>2</v>
      </c>
      <c r="CU1050">
        <v>0</v>
      </c>
      <c r="CV1050">
        <v>2</v>
      </c>
      <c r="CW1050">
        <v>0</v>
      </c>
      <c r="CX1050">
        <v>6</v>
      </c>
      <c r="CY1050">
        <v>7</v>
      </c>
      <c r="CZ1050" t="s">
        <v>131</v>
      </c>
      <c r="DA1050">
        <v>116</v>
      </c>
      <c r="DB1050">
        <v>0</v>
      </c>
      <c r="DC1050" t="s">
        <v>132</v>
      </c>
      <c r="DD1050" t="s">
        <v>133</v>
      </c>
      <c r="DG1050">
        <v>14721765</v>
      </c>
      <c r="DI1050">
        <v>0</v>
      </c>
      <c r="DJ1050">
        <v>0</v>
      </c>
      <c r="DK1050">
        <v>1</v>
      </c>
      <c r="DL1050">
        <v>0</v>
      </c>
      <c r="DM1050">
        <v>0</v>
      </c>
      <c r="DN1050">
        <v>0</v>
      </c>
      <c r="DO1050">
        <v>0</v>
      </c>
      <c r="DP1050">
        <v>1</v>
      </c>
      <c r="DQ1050">
        <v>0</v>
      </c>
      <c r="DR1050">
        <v>0</v>
      </c>
      <c r="DS1050">
        <v>0</v>
      </c>
    </row>
    <row r="1051" spans="1:123" x14ac:dyDescent="0.25">
      <c r="A1051" t="str">
        <f>"11/29/2023 20:26:59.259"</f>
        <v>11/29/2023 20:26:59.259</v>
      </c>
      <c r="C1051" t="str">
        <f t="shared" si="123"/>
        <v>FFDF53C0</v>
      </c>
      <c r="D1051" t="s">
        <v>135</v>
      </c>
      <c r="E1051">
        <v>31</v>
      </c>
      <c r="H1051">
        <v>285</v>
      </c>
      <c r="I1051" t="s">
        <v>136</v>
      </c>
      <c r="J1051" t="s">
        <v>137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>"20:26:58.906"</f>
        <v>20:26:58.906</v>
      </c>
      <c r="T1051" t="str">
        <f>"20:26:58.606"</f>
        <v>20:26:58.606</v>
      </c>
      <c r="U1051" t="str">
        <f t="shared" si="119"/>
        <v>AA0632</v>
      </c>
      <c r="V1051">
        <v>0</v>
      </c>
      <c r="W1051">
        <v>0</v>
      </c>
      <c r="X1051">
        <v>2</v>
      </c>
      <c r="Y1051">
        <v>0</v>
      </c>
      <c r="AA1051">
        <v>0</v>
      </c>
      <c r="AB1051">
        <v>9</v>
      </c>
      <c r="AC1051">
        <v>3</v>
      </c>
      <c r="AD1051">
        <v>0</v>
      </c>
      <c r="AE1051">
        <v>10</v>
      </c>
      <c r="AF1051" t="s">
        <v>126</v>
      </c>
      <c r="AG1051">
        <v>0</v>
      </c>
      <c r="AH1051">
        <v>0</v>
      </c>
      <c r="AI1051">
        <v>2</v>
      </c>
      <c r="AJ1051">
        <v>0</v>
      </c>
      <c r="AK1051" t="s">
        <v>637</v>
      </c>
      <c r="AL1051">
        <v>31.919381999999999</v>
      </c>
      <c r="AM1051" t="s">
        <v>606</v>
      </c>
      <c r="AN1051">
        <v>-100.970643</v>
      </c>
      <c r="AQ1051" t="s">
        <v>129</v>
      </c>
      <c r="AR1051">
        <v>-49</v>
      </c>
      <c r="AS1051">
        <v>12</v>
      </c>
      <c r="AT1051">
        <v>-64</v>
      </c>
      <c r="BB1051" t="str">
        <f t="shared" si="120"/>
        <v>1200</v>
      </c>
      <c r="BC1051">
        <v>1</v>
      </c>
      <c r="BD1051" t="str">
        <f t="shared" si="124"/>
        <v xml:space="preserve">N745MB  </v>
      </c>
      <c r="BE1051">
        <v>1</v>
      </c>
      <c r="BG1051">
        <v>0</v>
      </c>
      <c r="BH1051">
        <v>0</v>
      </c>
      <c r="BI1051">
        <v>0</v>
      </c>
      <c r="BL1051" t="s">
        <v>130</v>
      </c>
      <c r="BM1051">
        <v>1</v>
      </c>
      <c r="BN1051">
        <v>0</v>
      </c>
      <c r="BO1051">
        <v>0</v>
      </c>
      <c r="BP1051">
        <v>0</v>
      </c>
      <c r="BT1051">
        <v>0</v>
      </c>
      <c r="BU1051">
        <v>0</v>
      </c>
      <c r="CE1051" t="str">
        <f>"20:26:58.912"</f>
        <v>20:26:58.912</v>
      </c>
      <c r="CF1051">
        <v>912270729</v>
      </c>
      <c r="CS1051">
        <v>0</v>
      </c>
      <c r="CT1051">
        <v>2</v>
      </c>
      <c r="CU1051">
        <v>0</v>
      </c>
      <c r="CV1051">
        <v>2</v>
      </c>
      <c r="CW1051">
        <v>0</v>
      </c>
      <c r="CX1051">
        <v>6</v>
      </c>
      <c r="CY1051">
        <v>7</v>
      </c>
      <c r="CZ1051" t="s">
        <v>131</v>
      </c>
      <c r="DA1051">
        <v>116</v>
      </c>
      <c r="DB1051">
        <v>0</v>
      </c>
      <c r="DC1051" t="s">
        <v>132</v>
      </c>
      <c r="DD1051" t="s">
        <v>133</v>
      </c>
      <c r="DG1051">
        <v>14721765</v>
      </c>
      <c r="DI1051">
        <v>0</v>
      </c>
      <c r="DJ1051">
        <v>0</v>
      </c>
      <c r="DK1051">
        <v>1</v>
      </c>
      <c r="DL1051">
        <v>0</v>
      </c>
      <c r="DM1051">
        <v>0</v>
      </c>
      <c r="DN1051">
        <v>0</v>
      </c>
      <c r="DO1051">
        <v>0</v>
      </c>
      <c r="DP1051">
        <v>1</v>
      </c>
      <c r="DQ1051">
        <v>0</v>
      </c>
      <c r="DR1051">
        <v>0</v>
      </c>
      <c r="DS1051">
        <v>0</v>
      </c>
    </row>
    <row r="1052" spans="1:123" x14ac:dyDescent="0.25">
      <c r="A1052" t="str">
        <f>"11/29/2023 20:27:00.290"</f>
        <v>11/29/2023 20:27:00.290</v>
      </c>
      <c r="C1052" t="str">
        <f t="shared" si="123"/>
        <v>FFDF53C0</v>
      </c>
      <c r="D1052" t="s">
        <v>123</v>
      </c>
      <c r="E1052">
        <v>14</v>
      </c>
      <c r="F1052">
        <v>1014</v>
      </c>
      <c r="G1052" t="s">
        <v>124</v>
      </c>
      <c r="J1052" t="s">
        <v>125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"20:26:59.969"</f>
        <v>20:26:59.969</v>
      </c>
      <c r="T1052" t="str">
        <f>"20:26:59.569"</f>
        <v>20:26:59.569</v>
      </c>
      <c r="U1052" t="str">
        <f t="shared" si="119"/>
        <v>AA0632</v>
      </c>
      <c r="V1052">
        <v>0</v>
      </c>
      <c r="W1052">
        <v>0</v>
      </c>
      <c r="X1052">
        <v>2</v>
      </c>
      <c r="Y1052">
        <v>0</v>
      </c>
      <c r="AA1052">
        <v>0</v>
      </c>
      <c r="AB1052">
        <v>9</v>
      </c>
      <c r="AC1052">
        <v>3</v>
      </c>
      <c r="AD1052">
        <v>0</v>
      </c>
      <c r="AE1052">
        <v>10</v>
      </c>
      <c r="AF1052" t="s">
        <v>126</v>
      </c>
      <c r="AG1052">
        <v>0</v>
      </c>
      <c r="AH1052">
        <v>0</v>
      </c>
      <c r="AI1052">
        <v>2</v>
      </c>
      <c r="AJ1052">
        <v>0</v>
      </c>
      <c r="AK1052" t="s">
        <v>638</v>
      </c>
      <c r="AL1052">
        <v>31.919467000000001</v>
      </c>
      <c r="AM1052" t="s">
        <v>639</v>
      </c>
      <c r="AN1052">
        <v>-100.970857</v>
      </c>
      <c r="AQ1052" t="s">
        <v>129</v>
      </c>
      <c r="AR1052">
        <v>-46</v>
      </c>
      <c r="AS1052">
        <v>17</v>
      </c>
      <c r="AT1052">
        <v>-128</v>
      </c>
      <c r="BB1052" t="str">
        <f t="shared" si="120"/>
        <v>1200</v>
      </c>
      <c r="BC1052">
        <v>1</v>
      </c>
      <c r="BD1052" t="str">
        <f t="shared" si="124"/>
        <v xml:space="preserve">N745MB  </v>
      </c>
      <c r="BE1052">
        <v>1</v>
      </c>
      <c r="BG1052">
        <v>0</v>
      </c>
      <c r="BH1052">
        <v>0</v>
      </c>
      <c r="BI1052">
        <v>0</v>
      </c>
      <c r="BL1052" t="s">
        <v>130</v>
      </c>
      <c r="BM1052">
        <v>1</v>
      </c>
      <c r="BN1052">
        <v>0</v>
      </c>
      <c r="BO1052">
        <v>0</v>
      </c>
      <c r="BP1052">
        <v>0</v>
      </c>
      <c r="BT1052">
        <v>0</v>
      </c>
      <c r="BU1052">
        <v>0</v>
      </c>
      <c r="CE1052" t="str">
        <f>"20:26:59.970"</f>
        <v>20:26:59.970</v>
      </c>
      <c r="CF1052">
        <v>970205665</v>
      </c>
      <c r="CS1052">
        <v>0</v>
      </c>
      <c r="CT1052">
        <v>2</v>
      </c>
      <c r="CU1052">
        <v>0</v>
      </c>
      <c r="CV1052">
        <v>2</v>
      </c>
      <c r="CW1052">
        <v>0</v>
      </c>
      <c r="CX1052">
        <v>4</v>
      </c>
      <c r="CY1052">
        <v>7</v>
      </c>
      <c r="CZ1052" t="s">
        <v>131</v>
      </c>
      <c r="DA1052">
        <v>483</v>
      </c>
      <c r="DB1052">
        <v>1</v>
      </c>
      <c r="DC1052" t="s">
        <v>169</v>
      </c>
      <c r="DD1052" t="s">
        <v>170</v>
      </c>
      <c r="DG1052">
        <v>7385229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1</v>
      </c>
      <c r="DQ1052">
        <v>0</v>
      </c>
      <c r="DR1052">
        <v>0</v>
      </c>
      <c r="DS1052">
        <v>0</v>
      </c>
    </row>
    <row r="1053" spans="1:123" x14ac:dyDescent="0.25">
      <c r="A1053" t="str">
        <f>"11/29/2023 20:27:00.290"</f>
        <v>11/29/2023 20:27:00.290</v>
      </c>
      <c r="C1053" t="str">
        <f t="shared" si="123"/>
        <v>FFDF53C0</v>
      </c>
      <c r="D1053" t="s">
        <v>138</v>
      </c>
      <c r="E1053">
        <v>3</v>
      </c>
      <c r="H1053">
        <v>160</v>
      </c>
      <c r="I1053" t="s">
        <v>124</v>
      </c>
      <c r="J1053" t="s">
        <v>139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"20:26:59.969"</f>
        <v>20:26:59.969</v>
      </c>
      <c r="T1053" t="str">
        <f>"20:26:59.569"</f>
        <v>20:26:59.569</v>
      </c>
      <c r="U1053" t="str">
        <f t="shared" si="119"/>
        <v>AA0632</v>
      </c>
      <c r="V1053">
        <v>0</v>
      </c>
      <c r="W1053">
        <v>0</v>
      </c>
      <c r="X1053">
        <v>2</v>
      </c>
      <c r="Y1053">
        <v>0</v>
      </c>
      <c r="AA1053">
        <v>0</v>
      </c>
      <c r="AB1053">
        <v>9</v>
      </c>
      <c r="AC1053">
        <v>3</v>
      </c>
      <c r="AD1053">
        <v>0</v>
      </c>
      <c r="AE1053">
        <v>10</v>
      </c>
      <c r="AF1053" t="s">
        <v>126</v>
      </c>
      <c r="AG1053">
        <v>0</v>
      </c>
      <c r="AH1053">
        <v>0</v>
      </c>
      <c r="AI1053">
        <v>2</v>
      </c>
      <c r="AJ1053">
        <v>0</v>
      </c>
      <c r="AK1053" t="s">
        <v>638</v>
      </c>
      <c r="AL1053">
        <v>31.919467000000001</v>
      </c>
      <c r="AM1053" t="s">
        <v>639</v>
      </c>
      <c r="AN1053">
        <v>-100.970857</v>
      </c>
      <c r="AQ1053" t="s">
        <v>129</v>
      </c>
      <c r="AR1053">
        <v>-46</v>
      </c>
      <c r="AS1053">
        <v>17</v>
      </c>
      <c r="AT1053">
        <v>-128</v>
      </c>
      <c r="BB1053" t="str">
        <f t="shared" si="120"/>
        <v>1200</v>
      </c>
      <c r="BC1053">
        <v>1</v>
      </c>
      <c r="BD1053" t="str">
        <f t="shared" si="124"/>
        <v xml:space="preserve">N745MB  </v>
      </c>
      <c r="BE1053">
        <v>1</v>
      </c>
      <c r="BG1053">
        <v>0</v>
      </c>
      <c r="BH1053">
        <v>0</v>
      </c>
      <c r="BI1053">
        <v>0</v>
      </c>
      <c r="BL1053" t="s">
        <v>130</v>
      </c>
      <c r="BM1053">
        <v>1</v>
      </c>
      <c r="BN1053">
        <v>0</v>
      </c>
      <c r="BO1053">
        <v>0</v>
      </c>
      <c r="BP1053">
        <v>0</v>
      </c>
      <c r="BT1053">
        <v>0</v>
      </c>
      <c r="BU1053">
        <v>0</v>
      </c>
      <c r="CE1053" t="str">
        <f>"20:26:59.970"</f>
        <v>20:26:59.970</v>
      </c>
      <c r="CF1053">
        <v>970205665</v>
      </c>
      <c r="CS1053">
        <v>0</v>
      </c>
      <c r="CT1053">
        <v>2</v>
      </c>
      <c r="CU1053">
        <v>0</v>
      </c>
      <c r="CV1053">
        <v>2</v>
      </c>
      <c r="CW1053">
        <v>0</v>
      </c>
      <c r="CX1053">
        <v>4</v>
      </c>
      <c r="CY1053">
        <v>7</v>
      </c>
      <c r="CZ1053" t="s">
        <v>131</v>
      </c>
      <c r="DA1053">
        <v>483</v>
      </c>
      <c r="DB1053">
        <v>1</v>
      </c>
      <c r="DC1053" t="s">
        <v>169</v>
      </c>
      <c r="DD1053" t="s">
        <v>170</v>
      </c>
      <c r="DG1053">
        <v>7385229</v>
      </c>
      <c r="DI1053">
        <v>0</v>
      </c>
      <c r="DJ1053">
        <v>0</v>
      </c>
      <c r="DK1053">
        <v>1</v>
      </c>
      <c r="DL1053">
        <v>0</v>
      </c>
      <c r="DM1053">
        <v>0</v>
      </c>
      <c r="DN1053">
        <v>0</v>
      </c>
      <c r="DO1053">
        <v>0</v>
      </c>
      <c r="DP1053">
        <v>1</v>
      </c>
      <c r="DQ1053">
        <v>0</v>
      </c>
      <c r="DR1053">
        <v>0</v>
      </c>
      <c r="DS1053">
        <v>0</v>
      </c>
    </row>
    <row r="1054" spans="1:123" x14ac:dyDescent="0.25">
      <c r="A1054" t="str">
        <f>"11/29/2023 20:27:00.290"</f>
        <v>11/29/2023 20:27:00.290</v>
      </c>
      <c r="C1054" t="str">
        <f t="shared" si="123"/>
        <v>FFDF53C0</v>
      </c>
      <c r="D1054" t="s">
        <v>164</v>
      </c>
      <c r="E1054">
        <v>24</v>
      </c>
      <c r="F1054">
        <v>2024</v>
      </c>
      <c r="G1054" t="s">
        <v>165</v>
      </c>
      <c r="J1054" t="s">
        <v>166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"20:26:59.969"</f>
        <v>20:26:59.969</v>
      </c>
      <c r="T1054" t="str">
        <f>"20:26:59.569"</f>
        <v>20:26:59.569</v>
      </c>
      <c r="U1054" t="str">
        <f t="shared" si="119"/>
        <v>AA0632</v>
      </c>
      <c r="V1054">
        <v>0</v>
      </c>
      <c r="W1054">
        <v>0</v>
      </c>
      <c r="X1054">
        <v>2</v>
      </c>
      <c r="Y1054">
        <v>0</v>
      </c>
      <c r="AA1054">
        <v>0</v>
      </c>
      <c r="AB1054">
        <v>9</v>
      </c>
      <c r="AC1054">
        <v>3</v>
      </c>
      <c r="AD1054">
        <v>0</v>
      </c>
      <c r="AE1054">
        <v>10</v>
      </c>
      <c r="AF1054" t="s">
        <v>126</v>
      </c>
      <c r="AG1054">
        <v>0</v>
      </c>
      <c r="AH1054">
        <v>0</v>
      </c>
      <c r="AI1054">
        <v>2</v>
      </c>
      <c r="AJ1054">
        <v>0</v>
      </c>
      <c r="AK1054" t="s">
        <v>638</v>
      </c>
      <c r="AL1054">
        <v>31.919467000000001</v>
      </c>
      <c r="AM1054" t="s">
        <v>639</v>
      </c>
      <c r="AN1054">
        <v>-100.970857</v>
      </c>
      <c r="AQ1054" t="s">
        <v>129</v>
      </c>
      <c r="AR1054">
        <v>-46</v>
      </c>
      <c r="AS1054">
        <v>17</v>
      </c>
      <c r="AT1054">
        <v>-128</v>
      </c>
      <c r="BB1054" t="str">
        <f t="shared" si="120"/>
        <v>1200</v>
      </c>
      <c r="BC1054">
        <v>1</v>
      </c>
      <c r="BD1054" t="str">
        <f t="shared" si="124"/>
        <v xml:space="preserve">N745MB  </v>
      </c>
      <c r="BE1054">
        <v>1</v>
      </c>
      <c r="BG1054">
        <v>0</v>
      </c>
      <c r="BH1054">
        <v>0</v>
      </c>
      <c r="BI1054">
        <v>0</v>
      </c>
      <c r="BL1054" t="s">
        <v>130</v>
      </c>
      <c r="BM1054">
        <v>1</v>
      </c>
      <c r="BN1054">
        <v>0</v>
      </c>
      <c r="BO1054">
        <v>0</v>
      </c>
      <c r="BP1054">
        <v>0</v>
      </c>
      <c r="BT1054">
        <v>0</v>
      </c>
      <c r="BU1054">
        <v>0</v>
      </c>
      <c r="CE1054" t="str">
        <f>"20:26:59.970"</f>
        <v>20:26:59.970</v>
      </c>
      <c r="CF1054">
        <v>970205665</v>
      </c>
      <c r="CS1054">
        <v>0</v>
      </c>
      <c r="CT1054">
        <v>2</v>
      </c>
      <c r="CU1054">
        <v>0</v>
      </c>
      <c r="CV1054">
        <v>2</v>
      </c>
      <c r="CW1054">
        <v>0</v>
      </c>
      <c r="CX1054">
        <v>4</v>
      </c>
      <c r="CY1054">
        <v>7</v>
      </c>
      <c r="CZ1054" t="s">
        <v>131</v>
      </c>
      <c r="DA1054">
        <v>483</v>
      </c>
      <c r="DB1054">
        <v>1</v>
      </c>
      <c r="DC1054" t="s">
        <v>169</v>
      </c>
      <c r="DD1054" t="s">
        <v>170</v>
      </c>
      <c r="DG1054">
        <v>7385229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1</v>
      </c>
      <c r="DQ1054">
        <v>0</v>
      </c>
      <c r="DR1054">
        <v>0</v>
      </c>
      <c r="DS1054">
        <v>0</v>
      </c>
    </row>
    <row r="1055" spans="1:123" x14ac:dyDescent="0.25">
      <c r="A1055" t="str">
        <f>"11/29/2023 20:27:02.899"</f>
        <v>11/29/2023 20:27:02.899</v>
      </c>
      <c r="C1055" t="str">
        <f t="shared" si="123"/>
        <v>FFDF53C0</v>
      </c>
      <c r="D1055" t="s">
        <v>135</v>
      </c>
      <c r="E1055">
        <v>31</v>
      </c>
      <c r="H1055">
        <v>285</v>
      </c>
      <c r="I1055" t="s">
        <v>136</v>
      </c>
      <c r="J1055" t="s">
        <v>137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>"20:27:02.500"</f>
        <v>20:27:02.500</v>
      </c>
      <c r="T1055" t="str">
        <f>"20:27:02.200"</f>
        <v>20:27:02.200</v>
      </c>
      <c r="U1055" t="str">
        <f t="shared" si="119"/>
        <v>AA0632</v>
      </c>
      <c r="V1055">
        <v>0</v>
      </c>
      <c r="W1055">
        <v>0</v>
      </c>
      <c r="X1055">
        <v>2</v>
      </c>
      <c r="Y1055">
        <v>0</v>
      </c>
      <c r="AA1055">
        <v>0</v>
      </c>
      <c r="AB1055">
        <v>9</v>
      </c>
      <c r="AC1055">
        <v>3</v>
      </c>
      <c r="AD1055">
        <v>0</v>
      </c>
      <c r="AE1055">
        <v>10</v>
      </c>
      <c r="AF1055" t="s">
        <v>126</v>
      </c>
      <c r="AG1055">
        <v>0</v>
      </c>
      <c r="AH1055">
        <v>0</v>
      </c>
      <c r="AI1055">
        <v>2</v>
      </c>
      <c r="AJ1055">
        <v>0</v>
      </c>
      <c r="AK1055" t="s">
        <v>640</v>
      </c>
      <c r="AL1055">
        <v>31.919746</v>
      </c>
      <c r="AM1055" t="s">
        <v>641</v>
      </c>
      <c r="AN1055">
        <v>-100.971372</v>
      </c>
      <c r="AQ1055" t="s">
        <v>129</v>
      </c>
      <c r="AR1055">
        <v>-34</v>
      </c>
      <c r="AS1055">
        <v>29</v>
      </c>
      <c r="AT1055">
        <v>0</v>
      </c>
      <c r="BB1055" t="str">
        <f t="shared" si="120"/>
        <v>1200</v>
      </c>
      <c r="BC1055">
        <v>1</v>
      </c>
      <c r="BD1055" t="str">
        <f t="shared" si="124"/>
        <v xml:space="preserve">N745MB  </v>
      </c>
      <c r="BE1055">
        <v>1</v>
      </c>
      <c r="BG1055">
        <v>0</v>
      </c>
      <c r="BH1055">
        <v>0</v>
      </c>
      <c r="BI1055">
        <v>0</v>
      </c>
      <c r="BL1055" t="s">
        <v>130</v>
      </c>
      <c r="BM1055">
        <v>1</v>
      </c>
      <c r="BN1055">
        <v>0</v>
      </c>
      <c r="BO1055">
        <v>0</v>
      </c>
      <c r="BP1055">
        <v>0</v>
      </c>
      <c r="BT1055">
        <v>0</v>
      </c>
      <c r="BU1055">
        <v>0</v>
      </c>
      <c r="CE1055" t="str">
        <f>"20:27:02.504"</f>
        <v>20:27:02.504</v>
      </c>
      <c r="CF1055">
        <v>504036083</v>
      </c>
      <c r="CS1055">
        <v>0</v>
      </c>
      <c r="CT1055">
        <v>2</v>
      </c>
      <c r="CU1055">
        <v>0</v>
      </c>
      <c r="CV1055">
        <v>2</v>
      </c>
      <c r="CW1055">
        <v>0</v>
      </c>
      <c r="CX1055">
        <v>6</v>
      </c>
      <c r="CY1055">
        <v>7</v>
      </c>
      <c r="CZ1055" t="s">
        <v>131</v>
      </c>
      <c r="DA1055">
        <v>116</v>
      </c>
      <c r="DB1055">
        <v>0</v>
      </c>
      <c r="DC1055" t="s">
        <v>132</v>
      </c>
      <c r="DD1055" t="s">
        <v>133</v>
      </c>
      <c r="DG1055">
        <v>14724613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1</v>
      </c>
      <c r="DQ1055">
        <v>0</v>
      </c>
      <c r="DR1055">
        <v>0</v>
      </c>
      <c r="DS1055">
        <v>0</v>
      </c>
    </row>
    <row r="1056" spans="1:123" x14ac:dyDescent="0.25">
      <c r="A1056" t="str">
        <f>"11/29/2023 20:27:02.899"</f>
        <v>11/29/2023 20:27:02.899</v>
      </c>
      <c r="C1056" t="str">
        <f t="shared" si="123"/>
        <v>FFDF53C0</v>
      </c>
      <c r="D1056" t="s">
        <v>164</v>
      </c>
      <c r="E1056">
        <v>24</v>
      </c>
      <c r="F1056">
        <v>2024</v>
      </c>
      <c r="G1056" t="s">
        <v>165</v>
      </c>
      <c r="J1056" t="s">
        <v>166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>"20:27:02.500"</f>
        <v>20:27:02.500</v>
      </c>
      <c r="T1056" t="str">
        <f>"20:27:00.600"</f>
        <v>20:27:00.600</v>
      </c>
      <c r="U1056" t="str">
        <f t="shared" si="119"/>
        <v>AA0632</v>
      </c>
      <c r="V1056">
        <v>0</v>
      </c>
      <c r="W1056">
        <v>0</v>
      </c>
      <c r="X1056">
        <v>2</v>
      </c>
      <c r="Y1056">
        <v>0</v>
      </c>
      <c r="AA1056">
        <v>0</v>
      </c>
      <c r="AB1056">
        <v>9</v>
      </c>
      <c r="AC1056">
        <v>3</v>
      </c>
      <c r="AD1056">
        <v>0</v>
      </c>
      <c r="AE1056">
        <v>10</v>
      </c>
      <c r="AF1056" t="s">
        <v>126</v>
      </c>
      <c r="AG1056">
        <v>0</v>
      </c>
      <c r="AH1056">
        <v>0</v>
      </c>
      <c r="AI1056">
        <v>2</v>
      </c>
      <c r="AJ1056">
        <v>0</v>
      </c>
      <c r="AK1056" t="s">
        <v>640</v>
      </c>
      <c r="AL1056">
        <v>31.919746</v>
      </c>
      <c r="AM1056" t="s">
        <v>641</v>
      </c>
      <c r="AN1056">
        <v>-100.971372</v>
      </c>
      <c r="AQ1056" t="s">
        <v>129</v>
      </c>
      <c r="AR1056">
        <v>-42</v>
      </c>
      <c r="AS1056">
        <v>22</v>
      </c>
      <c r="AT1056">
        <v>0</v>
      </c>
      <c r="BB1056" t="str">
        <f t="shared" si="120"/>
        <v>1200</v>
      </c>
      <c r="BC1056">
        <v>1</v>
      </c>
      <c r="BD1056" t="str">
        <f t="shared" si="124"/>
        <v xml:space="preserve">N745MB  </v>
      </c>
      <c r="BE1056">
        <v>1</v>
      </c>
      <c r="BG1056">
        <v>0</v>
      </c>
      <c r="BH1056">
        <v>0</v>
      </c>
      <c r="BI1056">
        <v>0</v>
      </c>
      <c r="BL1056" t="s">
        <v>130</v>
      </c>
      <c r="BM1056">
        <v>1</v>
      </c>
      <c r="BN1056">
        <v>0</v>
      </c>
      <c r="BO1056">
        <v>0</v>
      </c>
      <c r="BP1056">
        <v>0</v>
      </c>
      <c r="BT1056">
        <v>0</v>
      </c>
      <c r="BU1056">
        <v>0</v>
      </c>
      <c r="CE1056" t="str">
        <f>"20:27:02.504"</f>
        <v>20:27:02.504</v>
      </c>
      <c r="CF1056">
        <v>504041328</v>
      </c>
      <c r="CS1056">
        <v>0</v>
      </c>
      <c r="CT1056">
        <v>2</v>
      </c>
      <c r="CU1056">
        <v>0</v>
      </c>
      <c r="CV1056">
        <v>2</v>
      </c>
      <c r="CW1056">
        <v>0</v>
      </c>
      <c r="CX1056">
        <v>2</v>
      </c>
      <c r="CY1056">
        <v>7</v>
      </c>
      <c r="CZ1056" t="s">
        <v>131</v>
      </c>
      <c r="DA1056">
        <v>483</v>
      </c>
      <c r="DB1056">
        <v>1</v>
      </c>
      <c r="DC1056" t="s">
        <v>169</v>
      </c>
      <c r="DD1056" t="s">
        <v>170</v>
      </c>
      <c r="DG1056">
        <v>7385596</v>
      </c>
      <c r="DI1056">
        <v>0</v>
      </c>
      <c r="DJ1056">
        <v>0</v>
      </c>
      <c r="DK1056">
        <v>1</v>
      </c>
      <c r="DL1056">
        <v>0</v>
      </c>
      <c r="DM1056">
        <v>0</v>
      </c>
      <c r="DN1056">
        <v>0</v>
      </c>
      <c r="DO1056">
        <v>0</v>
      </c>
      <c r="DP1056">
        <v>1</v>
      </c>
      <c r="DQ1056">
        <v>0</v>
      </c>
      <c r="DR1056">
        <v>0</v>
      </c>
      <c r="DS1056">
        <v>0</v>
      </c>
    </row>
    <row r="1057" spans="1:123" x14ac:dyDescent="0.25">
      <c r="A1057" t="str">
        <f>"11/29/2023 20:27:02.899"</f>
        <v>11/29/2023 20:27:02.899</v>
      </c>
      <c r="C1057" t="str">
        <f t="shared" si="123"/>
        <v>FFDF53C0</v>
      </c>
      <c r="D1057" t="s">
        <v>123</v>
      </c>
      <c r="E1057">
        <v>14</v>
      </c>
      <c r="F1057">
        <v>1014</v>
      </c>
      <c r="G1057" t="s">
        <v>124</v>
      </c>
      <c r="J1057" t="s">
        <v>125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>"20:27:02.500"</f>
        <v>20:27:02.500</v>
      </c>
      <c r="T1057" t="str">
        <f>"20:27:02.200"</f>
        <v>20:27:02.200</v>
      </c>
      <c r="U1057" t="str">
        <f t="shared" si="119"/>
        <v>AA0632</v>
      </c>
      <c r="V1057">
        <v>0</v>
      </c>
      <c r="W1057">
        <v>0</v>
      </c>
      <c r="X1057">
        <v>2</v>
      </c>
      <c r="Y1057">
        <v>0</v>
      </c>
      <c r="AA1057">
        <v>0</v>
      </c>
      <c r="AB1057">
        <v>9</v>
      </c>
      <c r="AC1057">
        <v>3</v>
      </c>
      <c r="AD1057">
        <v>0</v>
      </c>
      <c r="AE1057">
        <v>10</v>
      </c>
      <c r="AF1057" t="s">
        <v>126</v>
      </c>
      <c r="AG1057">
        <v>0</v>
      </c>
      <c r="AH1057">
        <v>0</v>
      </c>
      <c r="AI1057">
        <v>2</v>
      </c>
      <c r="AJ1057">
        <v>0</v>
      </c>
      <c r="AK1057" t="s">
        <v>640</v>
      </c>
      <c r="AL1057">
        <v>31.919746</v>
      </c>
      <c r="AM1057" t="s">
        <v>641</v>
      </c>
      <c r="AN1057">
        <v>-100.971372</v>
      </c>
      <c r="AQ1057" t="s">
        <v>129</v>
      </c>
      <c r="AR1057">
        <v>-34</v>
      </c>
      <c r="AS1057">
        <v>29</v>
      </c>
      <c r="AT1057">
        <v>0</v>
      </c>
      <c r="BB1057" t="str">
        <f t="shared" si="120"/>
        <v>1200</v>
      </c>
      <c r="BC1057">
        <v>1</v>
      </c>
      <c r="BD1057" t="str">
        <f t="shared" si="124"/>
        <v xml:space="preserve">N745MB  </v>
      </c>
      <c r="BE1057">
        <v>1</v>
      </c>
      <c r="BG1057">
        <v>0</v>
      </c>
      <c r="BH1057">
        <v>0</v>
      </c>
      <c r="BI1057">
        <v>0</v>
      </c>
      <c r="BL1057" t="s">
        <v>130</v>
      </c>
      <c r="BM1057">
        <v>1</v>
      </c>
      <c r="BN1057">
        <v>0</v>
      </c>
      <c r="BO1057">
        <v>0</v>
      </c>
      <c r="BP1057">
        <v>0</v>
      </c>
      <c r="BT1057">
        <v>0</v>
      </c>
      <c r="BU1057">
        <v>0</v>
      </c>
      <c r="CE1057" t="str">
        <f>"20:27:02.504"</f>
        <v>20:27:02.504</v>
      </c>
      <c r="CF1057">
        <v>504036083</v>
      </c>
      <c r="CS1057">
        <v>0</v>
      </c>
      <c r="CT1057">
        <v>2</v>
      </c>
      <c r="CU1057">
        <v>0</v>
      </c>
      <c r="CV1057">
        <v>2</v>
      </c>
      <c r="CW1057">
        <v>0</v>
      </c>
      <c r="CX1057">
        <v>6</v>
      </c>
      <c r="CY1057">
        <v>7</v>
      </c>
      <c r="CZ1057" t="s">
        <v>131</v>
      </c>
      <c r="DA1057">
        <v>116</v>
      </c>
      <c r="DB1057">
        <v>0</v>
      </c>
      <c r="DC1057" t="s">
        <v>132</v>
      </c>
      <c r="DD1057" t="s">
        <v>133</v>
      </c>
      <c r="DG1057">
        <v>14724613</v>
      </c>
      <c r="DI1057">
        <v>0</v>
      </c>
      <c r="DJ1057">
        <v>0</v>
      </c>
      <c r="DK1057">
        <v>1</v>
      </c>
      <c r="DL1057">
        <v>0</v>
      </c>
      <c r="DM1057">
        <v>0</v>
      </c>
      <c r="DN1057">
        <v>0</v>
      </c>
      <c r="DO1057">
        <v>0</v>
      </c>
      <c r="DP1057">
        <v>1</v>
      </c>
      <c r="DQ1057">
        <v>0</v>
      </c>
      <c r="DR1057">
        <v>0</v>
      </c>
      <c r="DS1057">
        <v>0</v>
      </c>
    </row>
    <row r="1058" spans="1:123" x14ac:dyDescent="0.25">
      <c r="A1058" t="str">
        <f>"11/29/2023 20:27:02.899"</f>
        <v>11/29/2023 20:27:02.899</v>
      </c>
      <c r="C1058" t="str">
        <f t="shared" si="123"/>
        <v>FFDF53C0</v>
      </c>
      <c r="D1058" t="s">
        <v>123</v>
      </c>
      <c r="E1058">
        <v>1</v>
      </c>
      <c r="F1058">
        <v>1001</v>
      </c>
      <c r="G1058" t="s">
        <v>134</v>
      </c>
      <c r="J1058" t="s">
        <v>125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>"20:27:02.500"</f>
        <v>20:27:02.500</v>
      </c>
      <c r="T1058" t="str">
        <f>"20:27:02.200"</f>
        <v>20:27:02.200</v>
      </c>
      <c r="U1058" t="str">
        <f t="shared" si="119"/>
        <v>AA0632</v>
      </c>
      <c r="V1058">
        <v>0</v>
      </c>
      <c r="W1058">
        <v>0</v>
      </c>
      <c r="X1058">
        <v>2</v>
      </c>
      <c r="Y1058">
        <v>0</v>
      </c>
      <c r="AA1058">
        <v>0</v>
      </c>
      <c r="AB1058">
        <v>9</v>
      </c>
      <c r="AC1058">
        <v>3</v>
      </c>
      <c r="AD1058">
        <v>0</v>
      </c>
      <c r="AE1058">
        <v>10</v>
      </c>
      <c r="AF1058" t="s">
        <v>126</v>
      </c>
      <c r="AG1058">
        <v>0</v>
      </c>
      <c r="AH1058">
        <v>0</v>
      </c>
      <c r="AI1058">
        <v>2</v>
      </c>
      <c r="AJ1058">
        <v>0</v>
      </c>
      <c r="AK1058" t="s">
        <v>640</v>
      </c>
      <c r="AL1058">
        <v>31.919746</v>
      </c>
      <c r="AM1058" t="s">
        <v>641</v>
      </c>
      <c r="AN1058">
        <v>-100.971372</v>
      </c>
      <c r="AQ1058" t="s">
        <v>129</v>
      </c>
      <c r="AR1058">
        <v>-34</v>
      </c>
      <c r="AS1058">
        <v>29</v>
      </c>
      <c r="AT1058">
        <v>0</v>
      </c>
      <c r="BB1058" t="str">
        <f t="shared" si="120"/>
        <v>1200</v>
      </c>
      <c r="BC1058">
        <v>1</v>
      </c>
      <c r="BD1058" t="str">
        <f t="shared" si="124"/>
        <v xml:space="preserve">N745MB  </v>
      </c>
      <c r="BE1058">
        <v>1</v>
      </c>
      <c r="BG1058">
        <v>0</v>
      </c>
      <c r="BH1058">
        <v>0</v>
      </c>
      <c r="BI1058">
        <v>0</v>
      </c>
      <c r="BL1058" t="s">
        <v>130</v>
      </c>
      <c r="BM1058">
        <v>1</v>
      </c>
      <c r="BN1058">
        <v>0</v>
      </c>
      <c r="BO1058">
        <v>0</v>
      </c>
      <c r="BP1058">
        <v>0</v>
      </c>
      <c r="BT1058">
        <v>0</v>
      </c>
      <c r="BU1058">
        <v>0</v>
      </c>
      <c r="CE1058" t="str">
        <f>"20:27:02.504"</f>
        <v>20:27:02.504</v>
      </c>
      <c r="CF1058">
        <v>504036083</v>
      </c>
      <c r="CS1058">
        <v>0</v>
      </c>
      <c r="CT1058">
        <v>2</v>
      </c>
      <c r="CU1058">
        <v>0</v>
      </c>
      <c r="CV1058">
        <v>2</v>
      </c>
      <c r="CW1058">
        <v>0</v>
      </c>
      <c r="CX1058">
        <v>6</v>
      </c>
      <c r="CY1058">
        <v>7</v>
      </c>
      <c r="CZ1058" t="s">
        <v>131</v>
      </c>
      <c r="DA1058">
        <v>116</v>
      </c>
      <c r="DB1058">
        <v>0</v>
      </c>
      <c r="DC1058" t="s">
        <v>132</v>
      </c>
      <c r="DD1058" t="s">
        <v>133</v>
      </c>
      <c r="DG1058">
        <v>14724613</v>
      </c>
      <c r="DI1058">
        <v>0</v>
      </c>
      <c r="DJ1058">
        <v>0</v>
      </c>
      <c r="DK1058">
        <v>1</v>
      </c>
      <c r="DL1058">
        <v>0</v>
      </c>
      <c r="DM1058">
        <v>0</v>
      </c>
      <c r="DN1058">
        <v>0</v>
      </c>
      <c r="DO1058">
        <v>0</v>
      </c>
      <c r="DP1058">
        <v>1</v>
      </c>
      <c r="DQ1058">
        <v>0</v>
      </c>
      <c r="DR1058">
        <v>0</v>
      </c>
      <c r="DS1058">
        <v>0</v>
      </c>
    </row>
    <row r="1059" spans="1:123" x14ac:dyDescent="0.25">
      <c r="A1059" t="str">
        <f>"11/29/2023 20:27:02.899"</f>
        <v>11/29/2023 20:27:02.899</v>
      </c>
      <c r="C1059" t="str">
        <f t="shared" si="123"/>
        <v>FFDF53C0</v>
      </c>
      <c r="D1059" t="s">
        <v>138</v>
      </c>
      <c r="E1059">
        <v>3</v>
      </c>
      <c r="H1059">
        <v>160</v>
      </c>
      <c r="I1059" t="s">
        <v>124</v>
      </c>
      <c r="J1059" t="s">
        <v>139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>"20:27:02.500"</f>
        <v>20:27:02.500</v>
      </c>
      <c r="T1059" t="str">
        <f>"20:27:02.200"</f>
        <v>20:27:02.200</v>
      </c>
      <c r="U1059" t="str">
        <f t="shared" si="119"/>
        <v>AA0632</v>
      </c>
      <c r="V1059">
        <v>0</v>
      </c>
      <c r="W1059">
        <v>0</v>
      </c>
      <c r="X1059">
        <v>2</v>
      </c>
      <c r="Y1059">
        <v>0</v>
      </c>
      <c r="AA1059">
        <v>0</v>
      </c>
      <c r="AB1059">
        <v>9</v>
      </c>
      <c r="AC1059">
        <v>3</v>
      </c>
      <c r="AD1059">
        <v>0</v>
      </c>
      <c r="AE1059">
        <v>10</v>
      </c>
      <c r="AF1059" t="s">
        <v>126</v>
      </c>
      <c r="AG1059">
        <v>0</v>
      </c>
      <c r="AH1059">
        <v>0</v>
      </c>
      <c r="AI1059">
        <v>2</v>
      </c>
      <c r="AJ1059">
        <v>0</v>
      </c>
      <c r="AK1059" t="s">
        <v>640</v>
      </c>
      <c r="AL1059">
        <v>31.919746</v>
      </c>
      <c r="AM1059" t="s">
        <v>641</v>
      </c>
      <c r="AN1059">
        <v>-100.971372</v>
      </c>
      <c r="AQ1059" t="s">
        <v>129</v>
      </c>
      <c r="AR1059">
        <v>-34</v>
      </c>
      <c r="AS1059">
        <v>29</v>
      </c>
      <c r="AT1059">
        <v>0</v>
      </c>
      <c r="BB1059" t="str">
        <f t="shared" si="120"/>
        <v>1200</v>
      </c>
      <c r="BC1059">
        <v>1</v>
      </c>
      <c r="BD1059" t="str">
        <f t="shared" si="124"/>
        <v xml:space="preserve">N745MB  </v>
      </c>
      <c r="BE1059">
        <v>1</v>
      </c>
      <c r="BG1059">
        <v>0</v>
      </c>
      <c r="BH1059">
        <v>0</v>
      </c>
      <c r="BI1059">
        <v>0</v>
      </c>
      <c r="BL1059" t="s">
        <v>130</v>
      </c>
      <c r="BM1059">
        <v>1</v>
      </c>
      <c r="BN1059">
        <v>0</v>
      </c>
      <c r="BO1059">
        <v>0</v>
      </c>
      <c r="BP1059">
        <v>0</v>
      </c>
      <c r="BT1059">
        <v>0</v>
      </c>
      <c r="BU1059">
        <v>0</v>
      </c>
      <c r="CE1059" t="str">
        <f>"20:27:02.504"</f>
        <v>20:27:02.504</v>
      </c>
      <c r="CF1059">
        <v>504036083</v>
      </c>
      <c r="CS1059">
        <v>0</v>
      </c>
      <c r="CT1059">
        <v>2</v>
      </c>
      <c r="CU1059">
        <v>0</v>
      </c>
      <c r="CV1059">
        <v>2</v>
      </c>
      <c r="CW1059">
        <v>0</v>
      </c>
      <c r="CX1059">
        <v>6</v>
      </c>
      <c r="CY1059">
        <v>7</v>
      </c>
      <c r="CZ1059" t="s">
        <v>131</v>
      </c>
      <c r="DA1059">
        <v>116</v>
      </c>
      <c r="DB1059">
        <v>0</v>
      </c>
      <c r="DC1059" t="s">
        <v>132</v>
      </c>
      <c r="DD1059" t="s">
        <v>133</v>
      </c>
      <c r="DG1059">
        <v>14724613</v>
      </c>
      <c r="DI1059">
        <v>0</v>
      </c>
      <c r="DJ1059">
        <v>0</v>
      </c>
      <c r="DK1059">
        <v>1</v>
      </c>
      <c r="DL1059">
        <v>0</v>
      </c>
      <c r="DM1059">
        <v>0</v>
      </c>
      <c r="DN1059">
        <v>0</v>
      </c>
      <c r="DO1059">
        <v>0</v>
      </c>
      <c r="DP1059">
        <v>1</v>
      </c>
      <c r="DQ1059">
        <v>0</v>
      </c>
      <c r="DR1059">
        <v>0</v>
      </c>
      <c r="DS1059">
        <v>0</v>
      </c>
    </row>
    <row r="1060" spans="1:123" x14ac:dyDescent="0.25">
      <c r="A1060" t="str">
        <f>"11/29/2023 20:27:04.446"</f>
        <v>11/29/2023 20:27:04.446</v>
      </c>
      <c r="C1060" t="str">
        <f t="shared" si="123"/>
        <v>FFDF53C0</v>
      </c>
      <c r="D1060" t="s">
        <v>123</v>
      </c>
      <c r="E1060">
        <v>1</v>
      </c>
      <c r="F1060">
        <v>1001</v>
      </c>
      <c r="G1060" t="s">
        <v>134</v>
      </c>
      <c r="J1060" t="s">
        <v>125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>"20:27:04.102"</f>
        <v>20:27:04.102</v>
      </c>
      <c r="T1060" t="str">
        <f>"20:27:03.202"</f>
        <v>20:27:03.202</v>
      </c>
      <c r="U1060" t="str">
        <f t="shared" si="119"/>
        <v>AA0632</v>
      </c>
      <c r="V1060">
        <v>0</v>
      </c>
      <c r="W1060">
        <v>0</v>
      </c>
      <c r="X1060">
        <v>2</v>
      </c>
      <c r="Y1060">
        <v>0</v>
      </c>
      <c r="AA1060">
        <v>0</v>
      </c>
      <c r="AB1060">
        <v>9</v>
      </c>
      <c r="AC1060">
        <v>3</v>
      </c>
      <c r="AD1060">
        <v>0</v>
      </c>
      <c r="AE1060">
        <v>10</v>
      </c>
      <c r="AF1060" t="s">
        <v>126</v>
      </c>
      <c r="AG1060">
        <v>0</v>
      </c>
      <c r="AH1060">
        <v>0</v>
      </c>
      <c r="AI1060">
        <v>2</v>
      </c>
      <c r="AJ1060">
        <v>0</v>
      </c>
      <c r="AK1060" t="s">
        <v>642</v>
      </c>
      <c r="AL1060">
        <v>31.920024999999999</v>
      </c>
      <c r="AM1060" t="s">
        <v>643</v>
      </c>
      <c r="AN1060">
        <v>-100.971587</v>
      </c>
      <c r="AQ1060" t="s">
        <v>129</v>
      </c>
      <c r="AR1060">
        <v>-28</v>
      </c>
      <c r="AS1060">
        <v>32</v>
      </c>
      <c r="AT1060">
        <v>-128</v>
      </c>
      <c r="BB1060" t="str">
        <f t="shared" si="120"/>
        <v>1200</v>
      </c>
      <c r="BC1060">
        <v>1</v>
      </c>
      <c r="BD1060" t="str">
        <f t="shared" si="124"/>
        <v xml:space="preserve">N745MB  </v>
      </c>
      <c r="BE1060">
        <v>1</v>
      </c>
      <c r="BG1060">
        <v>0</v>
      </c>
      <c r="BH1060">
        <v>0</v>
      </c>
      <c r="BI1060">
        <v>0</v>
      </c>
      <c r="BL1060" t="s">
        <v>130</v>
      </c>
      <c r="BM1060">
        <v>1</v>
      </c>
      <c r="BN1060">
        <v>0</v>
      </c>
      <c r="BO1060">
        <v>0</v>
      </c>
      <c r="BP1060">
        <v>0</v>
      </c>
      <c r="BT1060">
        <v>0</v>
      </c>
      <c r="BU1060">
        <v>0</v>
      </c>
      <c r="CE1060" t="str">
        <f>"20:27:04.108"</f>
        <v>20:27:04.108</v>
      </c>
      <c r="CF1060">
        <v>107924352</v>
      </c>
      <c r="CS1060">
        <v>0</v>
      </c>
      <c r="CT1060">
        <v>2</v>
      </c>
      <c r="CU1060">
        <v>0</v>
      </c>
      <c r="CV1060">
        <v>2</v>
      </c>
      <c r="CW1060">
        <v>0</v>
      </c>
      <c r="CX1060">
        <v>6</v>
      </c>
      <c r="CY1060">
        <v>7</v>
      </c>
      <c r="CZ1060" t="s">
        <v>131</v>
      </c>
      <c r="DA1060">
        <v>116</v>
      </c>
      <c r="DB1060">
        <v>3</v>
      </c>
      <c r="DC1060" t="s">
        <v>132</v>
      </c>
      <c r="DD1060" t="s">
        <v>133</v>
      </c>
      <c r="DG1060">
        <v>8448423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1</v>
      </c>
      <c r="DQ1060">
        <v>0</v>
      </c>
      <c r="DR1060">
        <v>0</v>
      </c>
      <c r="DS1060">
        <v>0</v>
      </c>
    </row>
    <row r="1061" spans="1:123" x14ac:dyDescent="0.25">
      <c r="A1061" t="str">
        <f>"11/29/2023 20:27:04.446"</f>
        <v>11/29/2023 20:27:04.446</v>
      </c>
      <c r="C1061" t="str">
        <f t="shared" si="123"/>
        <v>FFDF53C0</v>
      </c>
      <c r="D1061" t="s">
        <v>138</v>
      </c>
      <c r="E1061">
        <v>3</v>
      </c>
      <c r="H1061">
        <v>160</v>
      </c>
      <c r="I1061" t="s">
        <v>124</v>
      </c>
      <c r="J1061" t="s">
        <v>139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>"20:27:04.102"</f>
        <v>20:27:04.102</v>
      </c>
      <c r="T1061" t="str">
        <f>"20:27:03.202"</f>
        <v>20:27:03.202</v>
      </c>
      <c r="U1061" t="str">
        <f t="shared" si="119"/>
        <v>AA0632</v>
      </c>
      <c r="V1061">
        <v>0</v>
      </c>
      <c r="W1061">
        <v>0</v>
      </c>
      <c r="X1061">
        <v>2</v>
      </c>
      <c r="Y1061">
        <v>0</v>
      </c>
      <c r="AA1061">
        <v>0</v>
      </c>
      <c r="AB1061">
        <v>9</v>
      </c>
      <c r="AC1061">
        <v>3</v>
      </c>
      <c r="AD1061">
        <v>0</v>
      </c>
      <c r="AE1061">
        <v>10</v>
      </c>
      <c r="AF1061" t="s">
        <v>126</v>
      </c>
      <c r="AG1061">
        <v>0</v>
      </c>
      <c r="AH1061">
        <v>0</v>
      </c>
      <c r="AI1061">
        <v>2</v>
      </c>
      <c r="AJ1061">
        <v>0</v>
      </c>
      <c r="AK1061" t="s">
        <v>642</v>
      </c>
      <c r="AL1061">
        <v>31.920024999999999</v>
      </c>
      <c r="AM1061" t="s">
        <v>643</v>
      </c>
      <c r="AN1061">
        <v>-100.971587</v>
      </c>
      <c r="AQ1061" t="s">
        <v>129</v>
      </c>
      <c r="AR1061">
        <v>-28</v>
      </c>
      <c r="AS1061">
        <v>32</v>
      </c>
      <c r="AT1061">
        <v>-128</v>
      </c>
      <c r="BB1061" t="str">
        <f t="shared" si="120"/>
        <v>1200</v>
      </c>
      <c r="BC1061">
        <v>1</v>
      </c>
      <c r="BD1061" t="str">
        <f t="shared" si="124"/>
        <v xml:space="preserve">N745MB  </v>
      </c>
      <c r="BE1061">
        <v>1</v>
      </c>
      <c r="BG1061">
        <v>0</v>
      </c>
      <c r="BH1061">
        <v>0</v>
      </c>
      <c r="BI1061">
        <v>0</v>
      </c>
      <c r="BL1061" t="s">
        <v>130</v>
      </c>
      <c r="BM1061">
        <v>1</v>
      </c>
      <c r="BN1061">
        <v>0</v>
      </c>
      <c r="BO1061">
        <v>0</v>
      </c>
      <c r="BP1061">
        <v>0</v>
      </c>
      <c r="BT1061">
        <v>0</v>
      </c>
      <c r="BU1061">
        <v>0</v>
      </c>
      <c r="CE1061" t="str">
        <f>"20:27:04.108"</f>
        <v>20:27:04.108</v>
      </c>
      <c r="CF1061">
        <v>107924352</v>
      </c>
      <c r="CS1061">
        <v>0</v>
      </c>
      <c r="CT1061">
        <v>2</v>
      </c>
      <c r="CU1061">
        <v>0</v>
      </c>
      <c r="CV1061">
        <v>2</v>
      </c>
      <c r="CW1061">
        <v>0</v>
      </c>
      <c r="CX1061">
        <v>6</v>
      </c>
      <c r="CY1061">
        <v>7</v>
      </c>
      <c r="CZ1061" t="s">
        <v>131</v>
      </c>
      <c r="DA1061">
        <v>116</v>
      </c>
      <c r="DB1061">
        <v>3</v>
      </c>
      <c r="DC1061" t="s">
        <v>132</v>
      </c>
      <c r="DD1061" t="s">
        <v>133</v>
      </c>
      <c r="DG1061">
        <v>8448423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1</v>
      </c>
      <c r="DQ1061">
        <v>0</v>
      </c>
      <c r="DR1061">
        <v>0</v>
      </c>
      <c r="DS1061">
        <v>0</v>
      </c>
    </row>
    <row r="1062" spans="1:123" x14ac:dyDescent="0.25">
      <c r="A1062" t="str">
        <f>"11/29/2023 20:27:04.446"</f>
        <v>11/29/2023 20:27:04.446</v>
      </c>
      <c r="C1062" t="str">
        <f t="shared" si="123"/>
        <v>FFDF53C0</v>
      </c>
      <c r="D1062" t="s">
        <v>135</v>
      </c>
      <c r="E1062">
        <v>31</v>
      </c>
      <c r="H1062">
        <v>285</v>
      </c>
      <c r="I1062" t="s">
        <v>136</v>
      </c>
      <c r="J1062" t="s">
        <v>137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>"20:27:04.102"</f>
        <v>20:27:04.102</v>
      </c>
      <c r="T1062" t="str">
        <f>"20:27:03.202"</f>
        <v>20:27:03.202</v>
      </c>
      <c r="U1062" t="str">
        <f t="shared" si="119"/>
        <v>AA0632</v>
      </c>
      <c r="V1062">
        <v>0</v>
      </c>
      <c r="W1062">
        <v>0</v>
      </c>
      <c r="X1062">
        <v>2</v>
      </c>
      <c r="Y1062">
        <v>0</v>
      </c>
      <c r="AA1062">
        <v>0</v>
      </c>
      <c r="AB1062">
        <v>9</v>
      </c>
      <c r="AC1062">
        <v>3</v>
      </c>
      <c r="AD1062">
        <v>0</v>
      </c>
      <c r="AE1062">
        <v>10</v>
      </c>
      <c r="AF1062" t="s">
        <v>126</v>
      </c>
      <c r="AG1062">
        <v>0</v>
      </c>
      <c r="AH1062">
        <v>0</v>
      </c>
      <c r="AI1062">
        <v>2</v>
      </c>
      <c r="AJ1062">
        <v>0</v>
      </c>
      <c r="AK1062" t="s">
        <v>642</v>
      </c>
      <c r="AL1062">
        <v>31.920024999999999</v>
      </c>
      <c r="AM1062" t="s">
        <v>643</v>
      </c>
      <c r="AN1062">
        <v>-100.971587</v>
      </c>
      <c r="AQ1062" t="s">
        <v>129</v>
      </c>
      <c r="AR1062">
        <v>-28</v>
      </c>
      <c r="AS1062">
        <v>32</v>
      </c>
      <c r="AT1062">
        <v>-128</v>
      </c>
      <c r="BB1062" t="str">
        <f t="shared" si="120"/>
        <v>1200</v>
      </c>
      <c r="BC1062">
        <v>1</v>
      </c>
      <c r="BD1062" t="str">
        <f t="shared" si="124"/>
        <v xml:space="preserve">N745MB  </v>
      </c>
      <c r="BE1062">
        <v>1</v>
      </c>
      <c r="BG1062">
        <v>0</v>
      </c>
      <c r="BH1062">
        <v>0</v>
      </c>
      <c r="BI1062">
        <v>0</v>
      </c>
      <c r="BL1062" t="s">
        <v>130</v>
      </c>
      <c r="BM1062">
        <v>1</v>
      </c>
      <c r="BN1062">
        <v>0</v>
      </c>
      <c r="BO1062">
        <v>0</v>
      </c>
      <c r="BP1062">
        <v>0</v>
      </c>
      <c r="BT1062">
        <v>0</v>
      </c>
      <c r="BU1062">
        <v>0</v>
      </c>
      <c r="CE1062" t="str">
        <f>"20:27:04.108"</f>
        <v>20:27:04.108</v>
      </c>
      <c r="CF1062">
        <v>107924352</v>
      </c>
      <c r="CS1062">
        <v>0</v>
      </c>
      <c r="CT1062">
        <v>2</v>
      </c>
      <c r="CU1062">
        <v>0</v>
      </c>
      <c r="CV1062">
        <v>2</v>
      </c>
      <c r="CW1062">
        <v>0</v>
      </c>
      <c r="CX1062">
        <v>6</v>
      </c>
      <c r="CY1062">
        <v>7</v>
      </c>
      <c r="CZ1062" t="s">
        <v>131</v>
      </c>
      <c r="DA1062">
        <v>116</v>
      </c>
      <c r="DB1062">
        <v>3</v>
      </c>
      <c r="DC1062" t="s">
        <v>132</v>
      </c>
      <c r="DD1062" t="s">
        <v>133</v>
      </c>
      <c r="DG1062">
        <v>8448423</v>
      </c>
      <c r="DI1062">
        <v>0</v>
      </c>
      <c r="DJ1062">
        <v>0</v>
      </c>
      <c r="DK1062">
        <v>1</v>
      </c>
      <c r="DL1062">
        <v>0</v>
      </c>
      <c r="DM1062">
        <v>0</v>
      </c>
      <c r="DN1062">
        <v>0</v>
      </c>
      <c r="DO1062">
        <v>0</v>
      </c>
      <c r="DP1062">
        <v>1</v>
      </c>
      <c r="DQ1062">
        <v>0</v>
      </c>
      <c r="DR1062">
        <v>0</v>
      </c>
      <c r="DS1062">
        <v>0</v>
      </c>
    </row>
    <row r="1063" spans="1:123" x14ac:dyDescent="0.25">
      <c r="A1063" t="str">
        <f>"11/29/2023 20:27:04.446"</f>
        <v>11/29/2023 20:27:04.446</v>
      </c>
      <c r="C1063" t="str">
        <f t="shared" si="123"/>
        <v>FFDF53C0</v>
      </c>
      <c r="D1063" t="s">
        <v>123</v>
      </c>
      <c r="E1063">
        <v>14</v>
      </c>
      <c r="F1063">
        <v>1014</v>
      </c>
      <c r="G1063" t="s">
        <v>124</v>
      </c>
      <c r="J1063" t="s">
        <v>125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>"20:27:04.102"</f>
        <v>20:27:04.102</v>
      </c>
      <c r="T1063" t="str">
        <f>"20:27:03.202"</f>
        <v>20:27:03.202</v>
      </c>
      <c r="U1063" t="str">
        <f t="shared" si="119"/>
        <v>AA0632</v>
      </c>
      <c r="V1063">
        <v>0</v>
      </c>
      <c r="W1063">
        <v>0</v>
      </c>
      <c r="X1063">
        <v>2</v>
      </c>
      <c r="Y1063">
        <v>0</v>
      </c>
      <c r="AA1063">
        <v>0</v>
      </c>
      <c r="AB1063">
        <v>9</v>
      </c>
      <c r="AC1063">
        <v>3</v>
      </c>
      <c r="AD1063">
        <v>0</v>
      </c>
      <c r="AE1063">
        <v>10</v>
      </c>
      <c r="AF1063" t="s">
        <v>126</v>
      </c>
      <c r="AG1063">
        <v>0</v>
      </c>
      <c r="AH1063">
        <v>0</v>
      </c>
      <c r="AI1063">
        <v>2</v>
      </c>
      <c r="AJ1063">
        <v>0</v>
      </c>
      <c r="AK1063" t="s">
        <v>642</v>
      </c>
      <c r="AL1063">
        <v>31.920024999999999</v>
      </c>
      <c r="AM1063" t="s">
        <v>643</v>
      </c>
      <c r="AN1063">
        <v>-100.971587</v>
      </c>
      <c r="AQ1063" t="s">
        <v>129</v>
      </c>
      <c r="AR1063">
        <v>-28</v>
      </c>
      <c r="AS1063">
        <v>32</v>
      </c>
      <c r="AT1063">
        <v>-128</v>
      </c>
      <c r="BB1063" t="str">
        <f t="shared" si="120"/>
        <v>1200</v>
      </c>
      <c r="BC1063">
        <v>1</v>
      </c>
      <c r="BD1063" t="str">
        <f t="shared" si="124"/>
        <v xml:space="preserve">N745MB  </v>
      </c>
      <c r="BE1063">
        <v>1</v>
      </c>
      <c r="BG1063">
        <v>0</v>
      </c>
      <c r="BH1063">
        <v>0</v>
      </c>
      <c r="BI1063">
        <v>0</v>
      </c>
      <c r="BL1063" t="s">
        <v>130</v>
      </c>
      <c r="BM1063">
        <v>1</v>
      </c>
      <c r="BN1063">
        <v>0</v>
      </c>
      <c r="BO1063">
        <v>0</v>
      </c>
      <c r="BP1063">
        <v>0</v>
      </c>
      <c r="BT1063">
        <v>0</v>
      </c>
      <c r="BU1063">
        <v>0</v>
      </c>
      <c r="CE1063" t="str">
        <f>"20:27:04.108"</f>
        <v>20:27:04.108</v>
      </c>
      <c r="CF1063">
        <v>107924352</v>
      </c>
      <c r="CS1063">
        <v>0</v>
      </c>
      <c r="CT1063">
        <v>2</v>
      </c>
      <c r="CU1063">
        <v>0</v>
      </c>
      <c r="CV1063">
        <v>2</v>
      </c>
      <c r="CW1063">
        <v>0</v>
      </c>
      <c r="CX1063">
        <v>6</v>
      </c>
      <c r="CY1063">
        <v>7</v>
      </c>
      <c r="CZ1063" t="s">
        <v>131</v>
      </c>
      <c r="DA1063">
        <v>116</v>
      </c>
      <c r="DB1063">
        <v>3</v>
      </c>
      <c r="DC1063" t="s">
        <v>132</v>
      </c>
      <c r="DD1063" t="s">
        <v>133</v>
      </c>
      <c r="DG1063">
        <v>8448423</v>
      </c>
      <c r="DI1063">
        <v>0</v>
      </c>
      <c r="DJ1063">
        <v>0</v>
      </c>
      <c r="DK1063">
        <v>1</v>
      </c>
      <c r="DL1063">
        <v>0</v>
      </c>
      <c r="DM1063">
        <v>0</v>
      </c>
      <c r="DN1063">
        <v>0</v>
      </c>
      <c r="DO1063">
        <v>0</v>
      </c>
      <c r="DP1063">
        <v>1</v>
      </c>
      <c r="DQ1063">
        <v>0</v>
      </c>
      <c r="DR1063">
        <v>0</v>
      </c>
      <c r="DS1063">
        <v>0</v>
      </c>
    </row>
    <row r="1064" spans="1:123" x14ac:dyDescent="0.25">
      <c r="A1064" t="str">
        <f>"11/29/2023 20:27:05.899"</f>
        <v>11/29/2023 20:27:05.899</v>
      </c>
      <c r="C1064" t="str">
        <f t="shared" si="123"/>
        <v>FFDF53C0</v>
      </c>
      <c r="D1064" t="s">
        <v>123</v>
      </c>
      <c r="E1064">
        <v>1</v>
      </c>
      <c r="F1064">
        <v>1001</v>
      </c>
      <c r="G1064" t="s">
        <v>134</v>
      </c>
      <c r="J1064" t="s">
        <v>125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>"20:27:05.586"</f>
        <v>20:27:05.586</v>
      </c>
      <c r="T1064" t="str">
        <f>"20:27:05.186"</f>
        <v>20:27:05.186</v>
      </c>
      <c r="U1064" t="str">
        <f t="shared" si="119"/>
        <v>AA0632</v>
      </c>
      <c r="V1064">
        <v>0</v>
      </c>
      <c r="W1064">
        <v>0</v>
      </c>
      <c r="X1064">
        <v>2</v>
      </c>
      <c r="Y1064">
        <v>0</v>
      </c>
      <c r="AA1064">
        <v>0</v>
      </c>
      <c r="AB1064">
        <v>9</v>
      </c>
      <c r="AC1064">
        <v>3</v>
      </c>
      <c r="AD1064">
        <v>0</v>
      </c>
      <c r="AE1064">
        <v>10</v>
      </c>
      <c r="AF1064" t="s">
        <v>126</v>
      </c>
      <c r="AG1064">
        <v>0</v>
      </c>
      <c r="AH1064">
        <v>0</v>
      </c>
      <c r="AI1064">
        <v>2</v>
      </c>
      <c r="AJ1064">
        <v>0</v>
      </c>
      <c r="AK1064" t="s">
        <v>644</v>
      </c>
      <c r="AL1064">
        <v>31.920283000000001</v>
      </c>
      <c r="AM1064" t="s">
        <v>645</v>
      </c>
      <c r="AN1064">
        <v>-100.971715</v>
      </c>
      <c r="AQ1064" t="s">
        <v>129</v>
      </c>
      <c r="AR1064">
        <v>-15</v>
      </c>
      <c r="AS1064">
        <v>37</v>
      </c>
      <c r="AT1064">
        <v>-128</v>
      </c>
      <c r="BB1064" t="str">
        <f t="shared" si="120"/>
        <v>1200</v>
      </c>
      <c r="BC1064">
        <v>1</v>
      </c>
      <c r="BD1064" t="str">
        <f t="shared" si="124"/>
        <v xml:space="preserve">N745MB  </v>
      </c>
      <c r="BE1064">
        <v>1</v>
      </c>
      <c r="BG1064">
        <v>0</v>
      </c>
      <c r="BH1064">
        <v>0</v>
      </c>
      <c r="BI1064">
        <v>0</v>
      </c>
      <c r="BL1064" t="s">
        <v>130</v>
      </c>
      <c r="BM1064">
        <v>1</v>
      </c>
      <c r="BN1064">
        <v>0</v>
      </c>
      <c r="BO1064">
        <v>0</v>
      </c>
      <c r="BP1064">
        <v>0</v>
      </c>
      <c r="BT1064">
        <v>0</v>
      </c>
      <c r="BU1064">
        <v>0</v>
      </c>
      <c r="CE1064" t="str">
        <f>"20:27:05.592"</f>
        <v>20:27:05.592</v>
      </c>
      <c r="CF1064">
        <v>591825613</v>
      </c>
      <c r="CS1064">
        <v>0</v>
      </c>
      <c r="CT1064">
        <v>2</v>
      </c>
      <c r="CU1064">
        <v>0</v>
      </c>
      <c r="CV1064">
        <v>2</v>
      </c>
      <c r="CW1064">
        <v>0</v>
      </c>
      <c r="CX1064">
        <v>6</v>
      </c>
      <c r="CY1064">
        <v>7</v>
      </c>
      <c r="CZ1064" t="s">
        <v>131</v>
      </c>
      <c r="DA1064">
        <v>116</v>
      </c>
      <c r="DB1064">
        <v>0</v>
      </c>
      <c r="DC1064" t="s">
        <v>132</v>
      </c>
      <c r="DD1064" t="s">
        <v>133</v>
      </c>
      <c r="DG1064">
        <v>14727168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1</v>
      </c>
      <c r="DQ1064">
        <v>0</v>
      </c>
      <c r="DR1064">
        <v>0</v>
      </c>
      <c r="DS1064">
        <v>0</v>
      </c>
    </row>
    <row r="1065" spans="1:123" x14ac:dyDescent="0.25">
      <c r="A1065" t="str">
        <f>"11/29/2023 20:27:05.899"</f>
        <v>11/29/2023 20:27:05.899</v>
      </c>
      <c r="C1065" t="str">
        <f t="shared" si="123"/>
        <v>FFDF53C0</v>
      </c>
      <c r="D1065" t="s">
        <v>138</v>
      </c>
      <c r="E1065">
        <v>3</v>
      </c>
      <c r="H1065">
        <v>160</v>
      </c>
      <c r="I1065" t="s">
        <v>124</v>
      </c>
      <c r="J1065" t="s">
        <v>139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>"20:27:05.586"</f>
        <v>20:27:05.586</v>
      </c>
      <c r="T1065" t="str">
        <f>"20:27:05.186"</f>
        <v>20:27:05.186</v>
      </c>
      <c r="U1065" t="str">
        <f t="shared" si="119"/>
        <v>AA0632</v>
      </c>
      <c r="V1065">
        <v>0</v>
      </c>
      <c r="W1065">
        <v>0</v>
      </c>
      <c r="X1065">
        <v>2</v>
      </c>
      <c r="Y1065">
        <v>0</v>
      </c>
      <c r="AA1065">
        <v>0</v>
      </c>
      <c r="AB1065">
        <v>9</v>
      </c>
      <c r="AC1065">
        <v>3</v>
      </c>
      <c r="AD1065">
        <v>0</v>
      </c>
      <c r="AE1065">
        <v>10</v>
      </c>
      <c r="AF1065" t="s">
        <v>126</v>
      </c>
      <c r="AG1065">
        <v>0</v>
      </c>
      <c r="AH1065">
        <v>0</v>
      </c>
      <c r="AI1065">
        <v>2</v>
      </c>
      <c r="AJ1065">
        <v>0</v>
      </c>
      <c r="AK1065" t="s">
        <v>644</v>
      </c>
      <c r="AL1065">
        <v>31.920283000000001</v>
      </c>
      <c r="AM1065" t="s">
        <v>645</v>
      </c>
      <c r="AN1065">
        <v>-100.971715</v>
      </c>
      <c r="AQ1065" t="s">
        <v>129</v>
      </c>
      <c r="AR1065">
        <v>-15</v>
      </c>
      <c r="AS1065">
        <v>37</v>
      </c>
      <c r="AT1065">
        <v>-128</v>
      </c>
      <c r="BB1065" t="str">
        <f t="shared" si="120"/>
        <v>1200</v>
      </c>
      <c r="BC1065">
        <v>1</v>
      </c>
      <c r="BD1065" t="str">
        <f t="shared" si="124"/>
        <v xml:space="preserve">N745MB  </v>
      </c>
      <c r="BE1065">
        <v>1</v>
      </c>
      <c r="BG1065">
        <v>0</v>
      </c>
      <c r="BH1065">
        <v>0</v>
      </c>
      <c r="BI1065">
        <v>0</v>
      </c>
      <c r="BL1065" t="s">
        <v>130</v>
      </c>
      <c r="BM1065">
        <v>1</v>
      </c>
      <c r="BN1065">
        <v>0</v>
      </c>
      <c r="BO1065">
        <v>0</v>
      </c>
      <c r="BP1065">
        <v>0</v>
      </c>
      <c r="BT1065">
        <v>0</v>
      </c>
      <c r="BU1065">
        <v>0</v>
      </c>
      <c r="CE1065" t="str">
        <f>"20:27:05.592"</f>
        <v>20:27:05.592</v>
      </c>
      <c r="CF1065">
        <v>591825613</v>
      </c>
      <c r="CS1065">
        <v>0</v>
      </c>
      <c r="CT1065">
        <v>2</v>
      </c>
      <c r="CU1065">
        <v>0</v>
      </c>
      <c r="CV1065">
        <v>2</v>
      </c>
      <c r="CW1065">
        <v>0</v>
      </c>
      <c r="CX1065">
        <v>6</v>
      </c>
      <c r="CY1065">
        <v>7</v>
      </c>
      <c r="CZ1065" t="s">
        <v>131</v>
      </c>
      <c r="DA1065">
        <v>116</v>
      </c>
      <c r="DB1065">
        <v>0</v>
      </c>
      <c r="DC1065" t="s">
        <v>132</v>
      </c>
      <c r="DD1065" t="s">
        <v>133</v>
      </c>
      <c r="DG1065">
        <v>14727168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1</v>
      </c>
      <c r="DQ1065">
        <v>0</v>
      </c>
      <c r="DR1065">
        <v>0</v>
      </c>
      <c r="DS1065">
        <v>0</v>
      </c>
    </row>
    <row r="1066" spans="1:123" x14ac:dyDescent="0.25">
      <c r="A1066" t="str">
        <f>"11/29/2023 20:27:05.899"</f>
        <v>11/29/2023 20:27:05.899</v>
      </c>
      <c r="C1066" t="str">
        <f t="shared" si="123"/>
        <v>FFDF53C0</v>
      </c>
      <c r="D1066" t="s">
        <v>123</v>
      </c>
      <c r="E1066">
        <v>14</v>
      </c>
      <c r="F1066">
        <v>1014</v>
      </c>
      <c r="G1066" t="s">
        <v>124</v>
      </c>
      <c r="J1066" t="s">
        <v>125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>"20:27:05.586"</f>
        <v>20:27:05.586</v>
      </c>
      <c r="T1066" t="str">
        <f>"20:27:05.186"</f>
        <v>20:27:05.186</v>
      </c>
      <c r="U1066" t="str">
        <f t="shared" si="119"/>
        <v>AA0632</v>
      </c>
      <c r="V1066">
        <v>0</v>
      </c>
      <c r="W1066">
        <v>0</v>
      </c>
      <c r="X1066">
        <v>2</v>
      </c>
      <c r="Y1066">
        <v>0</v>
      </c>
      <c r="AA1066">
        <v>0</v>
      </c>
      <c r="AB1066">
        <v>9</v>
      </c>
      <c r="AC1066">
        <v>3</v>
      </c>
      <c r="AD1066">
        <v>0</v>
      </c>
      <c r="AE1066">
        <v>10</v>
      </c>
      <c r="AF1066" t="s">
        <v>126</v>
      </c>
      <c r="AG1066">
        <v>0</v>
      </c>
      <c r="AH1066">
        <v>0</v>
      </c>
      <c r="AI1066">
        <v>2</v>
      </c>
      <c r="AJ1066">
        <v>0</v>
      </c>
      <c r="AK1066" t="s">
        <v>644</v>
      </c>
      <c r="AL1066">
        <v>31.920283000000001</v>
      </c>
      <c r="AM1066" t="s">
        <v>645</v>
      </c>
      <c r="AN1066">
        <v>-100.971715</v>
      </c>
      <c r="AQ1066" t="s">
        <v>129</v>
      </c>
      <c r="AR1066">
        <v>-15</v>
      </c>
      <c r="AS1066">
        <v>37</v>
      </c>
      <c r="AT1066">
        <v>-128</v>
      </c>
      <c r="BB1066" t="str">
        <f t="shared" si="120"/>
        <v>1200</v>
      </c>
      <c r="BC1066">
        <v>1</v>
      </c>
      <c r="BD1066" t="str">
        <f t="shared" si="124"/>
        <v xml:space="preserve">N745MB  </v>
      </c>
      <c r="BE1066">
        <v>1</v>
      </c>
      <c r="BG1066">
        <v>0</v>
      </c>
      <c r="BH1066">
        <v>0</v>
      </c>
      <c r="BI1066">
        <v>0</v>
      </c>
      <c r="BL1066" t="s">
        <v>130</v>
      </c>
      <c r="BM1066">
        <v>1</v>
      </c>
      <c r="BN1066">
        <v>0</v>
      </c>
      <c r="BO1066">
        <v>0</v>
      </c>
      <c r="BP1066">
        <v>0</v>
      </c>
      <c r="BT1066">
        <v>0</v>
      </c>
      <c r="BU1066">
        <v>0</v>
      </c>
      <c r="CE1066" t="str">
        <f>"20:27:05.592"</f>
        <v>20:27:05.592</v>
      </c>
      <c r="CF1066">
        <v>591825613</v>
      </c>
      <c r="CS1066">
        <v>0</v>
      </c>
      <c r="CT1066">
        <v>2</v>
      </c>
      <c r="CU1066">
        <v>0</v>
      </c>
      <c r="CV1066">
        <v>2</v>
      </c>
      <c r="CW1066">
        <v>0</v>
      </c>
      <c r="CX1066">
        <v>6</v>
      </c>
      <c r="CY1066">
        <v>7</v>
      </c>
      <c r="CZ1066" t="s">
        <v>131</v>
      </c>
      <c r="DA1066">
        <v>116</v>
      </c>
      <c r="DB1066">
        <v>0</v>
      </c>
      <c r="DC1066" t="s">
        <v>132</v>
      </c>
      <c r="DD1066" t="s">
        <v>133</v>
      </c>
      <c r="DG1066">
        <v>14727168</v>
      </c>
      <c r="DI1066">
        <v>0</v>
      </c>
      <c r="DJ1066">
        <v>0</v>
      </c>
      <c r="DK1066">
        <v>1</v>
      </c>
      <c r="DL1066">
        <v>0</v>
      </c>
      <c r="DM1066">
        <v>0</v>
      </c>
      <c r="DN1066">
        <v>0</v>
      </c>
      <c r="DO1066">
        <v>0</v>
      </c>
      <c r="DP1066">
        <v>1</v>
      </c>
      <c r="DQ1066">
        <v>0</v>
      </c>
      <c r="DR1066">
        <v>0</v>
      </c>
      <c r="DS1066">
        <v>0</v>
      </c>
    </row>
    <row r="1067" spans="1:123" x14ac:dyDescent="0.25">
      <c r="A1067" t="str">
        <f>"11/29/2023 20:27:07.352"</f>
        <v>11/29/2023 20:27:07.352</v>
      </c>
      <c r="C1067" t="str">
        <f t="shared" si="123"/>
        <v>FFDF53C0</v>
      </c>
      <c r="D1067" t="s">
        <v>138</v>
      </c>
      <c r="E1067">
        <v>3</v>
      </c>
      <c r="H1067">
        <v>160</v>
      </c>
      <c r="I1067" t="s">
        <v>124</v>
      </c>
      <c r="J1067" t="s">
        <v>139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>"20:27:06.914"</f>
        <v>20:27:06.914</v>
      </c>
      <c r="T1067" t="str">
        <f>"20:27:06.814"</f>
        <v>20:27:06.814</v>
      </c>
      <c r="U1067" t="str">
        <f t="shared" si="119"/>
        <v>AA0632</v>
      </c>
      <c r="V1067">
        <v>0</v>
      </c>
      <c r="W1067">
        <v>0</v>
      </c>
      <c r="X1067">
        <v>2</v>
      </c>
      <c r="Y1067">
        <v>0</v>
      </c>
      <c r="AA1067">
        <v>0</v>
      </c>
      <c r="AB1067">
        <v>9</v>
      </c>
      <c r="AC1067">
        <v>3</v>
      </c>
      <c r="AD1067">
        <v>0</v>
      </c>
      <c r="AE1067">
        <v>10</v>
      </c>
      <c r="AF1067" t="s">
        <v>126</v>
      </c>
      <c r="AG1067">
        <v>0</v>
      </c>
      <c r="AH1067">
        <v>0</v>
      </c>
      <c r="AI1067">
        <v>2</v>
      </c>
      <c r="AJ1067">
        <v>0</v>
      </c>
      <c r="AK1067" t="s">
        <v>646</v>
      </c>
      <c r="AL1067">
        <v>31.920539999999999</v>
      </c>
      <c r="AM1067" t="s">
        <v>647</v>
      </c>
      <c r="AN1067">
        <v>-100.97175799999999</v>
      </c>
      <c r="AQ1067" t="s">
        <v>129</v>
      </c>
      <c r="AR1067">
        <v>-6</v>
      </c>
      <c r="AS1067">
        <v>39</v>
      </c>
      <c r="AT1067">
        <v>-128</v>
      </c>
      <c r="BB1067" t="str">
        <f t="shared" si="120"/>
        <v>1200</v>
      </c>
      <c r="BC1067">
        <v>1</v>
      </c>
      <c r="BD1067" t="str">
        <f t="shared" si="124"/>
        <v xml:space="preserve">N745MB  </v>
      </c>
      <c r="BE1067">
        <v>1</v>
      </c>
      <c r="BG1067">
        <v>0</v>
      </c>
      <c r="BH1067">
        <v>0</v>
      </c>
      <c r="BI1067">
        <v>0</v>
      </c>
      <c r="BL1067" t="s">
        <v>130</v>
      </c>
      <c r="BM1067">
        <v>1</v>
      </c>
      <c r="BN1067">
        <v>0</v>
      </c>
      <c r="BO1067">
        <v>0</v>
      </c>
      <c r="BP1067">
        <v>0</v>
      </c>
      <c r="BT1067">
        <v>0</v>
      </c>
      <c r="BU1067">
        <v>0</v>
      </c>
      <c r="CE1067" t="str">
        <f>"20:27:06.922"</f>
        <v>20:27:06.922</v>
      </c>
      <c r="CF1067">
        <v>921736818</v>
      </c>
      <c r="CS1067">
        <v>0</v>
      </c>
      <c r="CT1067">
        <v>2</v>
      </c>
      <c r="CU1067">
        <v>0</v>
      </c>
      <c r="CV1067">
        <v>2</v>
      </c>
      <c r="CW1067">
        <v>0</v>
      </c>
      <c r="CX1067">
        <v>6</v>
      </c>
      <c r="CY1067">
        <v>7</v>
      </c>
      <c r="CZ1067" t="s">
        <v>131</v>
      </c>
      <c r="DA1067">
        <v>116</v>
      </c>
      <c r="DB1067">
        <v>3</v>
      </c>
      <c r="DC1067" t="s">
        <v>132</v>
      </c>
      <c r="DD1067" t="s">
        <v>133</v>
      </c>
      <c r="DG1067">
        <v>8449855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1</v>
      </c>
      <c r="DQ1067">
        <v>0</v>
      </c>
      <c r="DR1067">
        <v>0</v>
      </c>
      <c r="DS1067">
        <v>0</v>
      </c>
    </row>
    <row r="1068" spans="1:123" x14ac:dyDescent="0.25">
      <c r="A1068" t="str">
        <f>"11/29/2023 20:27:07.352"</f>
        <v>11/29/2023 20:27:07.352</v>
      </c>
      <c r="C1068" t="str">
        <f t="shared" si="123"/>
        <v>FFDF53C0</v>
      </c>
      <c r="D1068" t="s">
        <v>135</v>
      </c>
      <c r="E1068">
        <v>31</v>
      </c>
      <c r="H1068">
        <v>285</v>
      </c>
      <c r="I1068" t="s">
        <v>136</v>
      </c>
      <c r="J1068" t="s">
        <v>137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>"20:27:06.914"</f>
        <v>20:27:06.914</v>
      </c>
      <c r="T1068" t="str">
        <f>"20:27:06.814"</f>
        <v>20:27:06.814</v>
      </c>
      <c r="U1068" t="str">
        <f t="shared" si="119"/>
        <v>AA0632</v>
      </c>
      <c r="V1068">
        <v>0</v>
      </c>
      <c r="W1068">
        <v>0</v>
      </c>
      <c r="X1068">
        <v>2</v>
      </c>
      <c r="Y1068">
        <v>0</v>
      </c>
      <c r="AA1068">
        <v>0</v>
      </c>
      <c r="AB1068">
        <v>9</v>
      </c>
      <c r="AC1068">
        <v>3</v>
      </c>
      <c r="AD1068">
        <v>0</v>
      </c>
      <c r="AE1068">
        <v>10</v>
      </c>
      <c r="AF1068" t="s">
        <v>126</v>
      </c>
      <c r="AG1068">
        <v>0</v>
      </c>
      <c r="AH1068">
        <v>0</v>
      </c>
      <c r="AI1068">
        <v>2</v>
      </c>
      <c r="AJ1068">
        <v>0</v>
      </c>
      <c r="AK1068" t="s">
        <v>646</v>
      </c>
      <c r="AL1068">
        <v>31.920539999999999</v>
      </c>
      <c r="AM1068" t="s">
        <v>647</v>
      </c>
      <c r="AN1068">
        <v>-100.97175799999999</v>
      </c>
      <c r="AQ1068" t="s">
        <v>129</v>
      </c>
      <c r="AR1068">
        <v>-6</v>
      </c>
      <c r="AS1068">
        <v>39</v>
      </c>
      <c r="AT1068">
        <v>-128</v>
      </c>
      <c r="BB1068" t="str">
        <f t="shared" si="120"/>
        <v>1200</v>
      </c>
      <c r="BC1068">
        <v>1</v>
      </c>
      <c r="BD1068" t="str">
        <f t="shared" si="124"/>
        <v xml:space="preserve">N745MB  </v>
      </c>
      <c r="BE1068">
        <v>1</v>
      </c>
      <c r="BG1068">
        <v>0</v>
      </c>
      <c r="BH1068">
        <v>0</v>
      </c>
      <c r="BI1068">
        <v>0</v>
      </c>
      <c r="BL1068" t="s">
        <v>130</v>
      </c>
      <c r="BM1068">
        <v>1</v>
      </c>
      <c r="BN1068">
        <v>0</v>
      </c>
      <c r="BO1068">
        <v>0</v>
      </c>
      <c r="BP1068">
        <v>0</v>
      </c>
      <c r="BT1068">
        <v>0</v>
      </c>
      <c r="BU1068">
        <v>0</v>
      </c>
      <c r="CE1068" t="str">
        <f>"20:27:06.922"</f>
        <v>20:27:06.922</v>
      </c>
      <c r="CF1068">
        <v>921736818</v>
      </c>
      <c r="CS1068">
        <v>0</v>
      </c>
      <c r="CT1068">
        <v>2</v>
      </c>
      <c r="CU1068">
        <v>0</v>
      </c>
      <c r="CV1068">
        <v>2</v>
      </c>
      <c r="CW1068">
        <v>0</v>
      </c>
      <c r="CX1068">
        <v>6</v>
      </c>
      <c r="CY1068">
        <v>7</v>
      </c>
      <c r="CZ1068" t="s">
        <v>131</v>
      </c>
      <c r="DA1068">
        <v>116</v>
      </c>
      <c r="DB1068">
        <v>3</v>
      </c>
      <c r="DC1068" t="s">
        <v>132</v>
      </c>
      <c r="DD1068" t="s">
        <v>133</v>
      </c>
      <c r="DG1068">
        <v>8449855</v>
      </c>
      <c r="DI1068">
        <v>0</v>
      </c>
      <c r="DJ1068">
        <v>0</v>
      </c>
      <c r="DK1068">
        <v>1</v>
      </c>
      <c r="DL1068">
        <v>0</v>
      </c>
      <c r="DM1068">
        <v>0</v>
      </c>
      <c r="DN1068">
        <v>0</v>
      </c>
      <c r="DO1068">
        <v>0</v>
      </c>
      <c r="DP1068">
        <v>1</v>
      </c>
      <c r="DQ1068">
        <v>0</v>
      </c>
      <c r="DR1068">
        <v>0</v>
      </c>
      <c r="DS1068">
        <v>0</v>
      </c>
    </row>
    <row r="1069" spans="1:123" x14ac:dyDescent="0.25">
      <c r="A1069" t="str">
        <f>"11/29/2023 20:27:07.352"</f>
        <v>11/29/2023 20:27:07.352</v>
      </c>
      <c r="C1069" t="str">
        <f t="shared" si="123"/>
        <v>FFDF53C0</v>
      </c>
      <c r="D1069" t="s">
        <v>123</v>
      </c>
      <c r="E1069">
        <v>14</v>
      </c>
      <c r="F1069">
        <v>1014</v>
      </c>
      <c r="G1069" t="s">
        <v>124</v>
      </c>
      <c r="J1069" t="s">
        <v>125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>"20:27:06.914"</f>
        <v>20:27:06.914</v>
      </c>
      <c r="T1069" t="str">
        <f>"20:27:06.814"</f>
        <v>20:27:06.814</v>
      </c>
      <c r="U1069" t="str">
        <f t="shared" si="119"/>
        <v>AA0632</v>
      </c>
      <c r="V1069">
        <v>0</v>
      </c>
      <c r="W1069">
        <v>0</v>
      </c>
      <c r="X1069">
        <v>2</v>
      </c>
      <c r="Y1069">
        <v>0</v>
      </c>
      <c r="AA1069">
        <v>0</v>
      </c>
      <c r="AB1069">
        <v>9</v>
      </c>
      <c r="AC1069">
        <v>3</v>
      </c>
      <c r="AD1069">
        <v>0</v>
      </c>
      <c r="AE1069">
        <v>10</v>
      </c>
      <c r="AF1069" t="s">
        <v>126</v>
      </c>
      <c r="AG1069">
        <v>0</v>
      </c>
      <c r="AH1069">
        <v>0</v>
      </c>
      <c r="AI1069">
        <v>2</v>
      </c>
      <c r="AJ1069">
        <v>0</v>
      </c>
      <c r="AK1069" t="s">
        <v>646</v>
      </c>
      <c r="AL1069">
        <v>31.920539999999999</v>
      </c>
      <c r="AM1069" t="s">
        <v>647</v>
      </c>
      <c r="AN1069">
        <v>-100.97175799999999</v>
      </c>
      <c r="AQ1069" t="s">
        <v>129</v>
      </c>
      <c r="AR1069">
        <v>-6</v>
      </c>
      <c r="AS1069">
        <v>39</v>
      </c>
      <c r="AT1069">
        <v>-128</v>
      </c>
      <c r="BB1069" t="str">
        <f t="shared" si="120"/>
        <v>1200</v>
      </c>
      <c r="BC1069">
        <v>1</v>
      </c>
      <c r="BD1069" t="str">
        <f t="shared" si="124"/>
        <v xml:space="preserve">N745MB  </v>
      </c>
      <c r="BE1069">
        <v>1</v>
      </c>
      <c r="BG1069">
        <v>0</v>
      </c>
      <c r="BH1069">
        <v>0</v>
      </c>
      <c r="BI1069">
        <v>0</v>
      </c>
      <c r="BL1069" t="s">
        <v>130</v>
      </c>
      <c r="BM1069">
        <v>1</v>
      </c>
      <c r="BN1069">
        <v>0</v>
      </c>
      <c r="BO1069">
        <v>0</v>
      </c>
      <c r="BP1069">
        <v>0</v>
      </c>
      <c r="BT1069">
        <v>0</v>
      </c>
      <c r="BU1069">
        <v>0</v>
      </c>
      <c r="CE1069" t="str">
        <f>"20:27:06.922"</f>
        <v>20:27:06.922</v>
      </c>
      <c r="CF1069">
        <v>921736818</v>
      </c>
      <c r="CS1069">
        <v>0</v>
      </c>
      <c r="CT1069">
        <v>2</v>
      </c>
      <c r="CU1069">
        <v>0</v>
      </c>
      <c r="CV1069">
        <v>2</v>
      </c>
      <c r="CW1069">
        <v>0</v>
      </c>
      <c r="CX1069">
        <v>6</v>
      </c>
      <c r="CY1069">
        <v>7</v>
      </c>
      <c r="CZ1069" t="s">
        <v>131</v>
      </c>
      <c r="DA1069">
        <v>116</v>
      </c>
      <c r="DB1069">
        <v>3</v>
      </c>
      <c r="DC1069" t="s">
        <v>132</v>
      </c>
      <c r="DD1069" t="s">
        <v>133</v>
      </c>
      <c r="DG1069">
        <v>8449855</v>
      </c>
      <c r="DI1069">
        <v>0</v>
      </c>
      <c r="DJ1069">
        <v>0</v>
      </c>
      <c r="DK1069">
        <v>1</v>
      </c>
      <c r="DL1069">
        <v>0</v>
      </c>
      <c r="DM1069">
        <v>0</v>
      </c>
      <c r="DN1069">
        <v>0</v>
      </c>
      <c r="DO1069">
        <v>0</v>
      </c>
      <c r="DP1069">
        <v>1</v>
      </c>
      <c r="DQ1069">
        <v>0</v>
      </c>
      <c r="DR1069">
        <v>0</v>
      </c>
      <c r="DS1069">
        <v>0</v>
      </c>
    </row>
    <row r="1070" spans="1:123" x14ac:dyDescent="0.25">
      <c r="A1070" t="str">
        <f>"11/29/2023 20:27:07.352"</f>
        <v>11/29/2023 20:27:07.352</v>
      </c>
      <c r="C1070" t="str">
        <f t="shared" si="123"/>
        <v>FFDF53C0</v>
      </c>
      <c r="D1070" t="s">
        <v>123</v>
      </c>
      <c r="E1070">
        <v>1</v>
      </c>
      <c r="F1070">
        <v>1001</v>
      </c>
      <c r="G1070" t="s">
        <v>134</v>
      </c>
      <c r="J1070" t="s">
        <v>125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>"20:27:06.914"</f>
        <v>20:27:06.914</v>
      </c>
      <c r="T1070" t="str">
        <f>"20:27:06.814"</f>
        <v>20:27:06.814</v>
      </c>
      <c r="U1070" t="str">
        <f t="shared" si="119"/>
        <v>AA0632</v>
      </c>
      <c r="V1070">
        <v>0</v>
      </c>
      <c r="W1070">
        <v>0</v>
      </c>
      <c r="X1070">
        <v>2</v>
      </c>
      <c r="Y1070">
        <v>0</v>
      </c>
      <c r="AA1070">
        <v>0</v>
      </c>
      <c r="AB1070">
        <v>9</v>
      </c>
      <c r="AC1070">
        <v>3</v>
      </c>
      <c r="AD1070">
        <v>0</v>
      </c>
      <c r="AE1070">
        <v>10</v>
      </c>
      <c r="AF1070" t="s">
        <v>126</v>
      </c>
      <c r="AG1070">
        <v>0</v>
      </c>
      <c r="AH1070">
        <v>0</v>
      </c>
      <c r="AI1070">
        <v>2</v>
      </c>
      <c r="AJ1070">
        <v>0</v>
      </c>
      <c r="AK1070" t="s">
        <v>646</v>
      </c>
      <c r="AL1070">
        <v>31.920539999999999</v>
      </c>
      <c r="AM1070" t="s">
        <v>647</v>
      </c>
      <c r="AN1070">
        <v>-100.97175799999999</v>
      </c>
      <c r="AQ1070" t="s">
        <v>129</v>
      </c>
      <c r="AR1070">
        <v>-6</v>
      </c>
      <c r="AS1070">
        <v>39</v>
      </c>
      <c r="AT1070">
        <v>-128</v>
      </c>
      <c r="BB1070" t="str">
        <f t="shared" si="120"/>
        <v>1200</v>
      </c>
      <c r="BC1070">
        <v>1</v>
      </c>
      <c r="BD1070" t="str">
        <f t="shared" si="124"/>
        <v xml:space="preserve">N745MB  </v>
      </c>
      <c r="BE1070">
        <v>1</v>
      </c>
      <c r="BG1070">
        <v>0</v>
      </c>
      <c r="BH1070">
        <v>0</v>
      </c>
      <c r="BI1070">
        <v>0</v>
      </c>
      <c r="BL1070" t="s">
        <v>130</v>
      </c>
      <c r="BM1070">
        <v>1</v>
      </c>
      <c r="BN1070">
        <v>0</v>
      </c>
      <c r="BO1070">
        <v>0</v>
      </c>
      <c r="BP1070">
        <v>0</v>
      </c>
      <c r="BT1070">
        <v>0</v>
      </c>
      <c r="BU1070">
        <v>0</v>
      </c>
      <c r="CE1070" t="str">
        <f>"20:27:06.922"</f>
        <v>20:27:06.922</v>
      </c>
      <c r="CF1070">
        <v>921736818</v>
      </c>
      <c r="CS1070">
        <v>0</v>
      </c>
      <c r="CT1070">
        <v>2</v>
      </c>
      <c r="CU1070">
        <v>0</v>
      </c>
      <c r="CV1070">
        <v>2</v>
      </c>
      <c r="CW1070">
        <v>0</v>
      </c>
      <c r="CX1070">
        <v>6</v>
      </c>
      <c r="CY1070">
        <v>7</v>
      </c>
      <c r="CZ1070" t="s">
        <v>131</v>
      </c>
      <c r="DA1070">
        <v>116</v>
      </c>
      <c r="DB1070">
        <v>3</v>
      </c>
      <c r="DC1070" t="s">
        <v>132</v>
      </c>
      <c r="DD1070" t="s">
        <v>133</v>
      </c>
      <c r="DG1070">
        <v>8449855</v>
      </c>
      <c r="DI1070">
        <v>0</v>
      </c>
      <c r="DJ1070">
        <v>0</v>
      </c>
      <c r="DK1070">
        <v>1</v>
      </c>
      <c r="DL1070">
        <v>0</v>
      </c>
      <c r="DM1070">
        <v>0</v>
      </c>
      <c r="DN1070">
        <v>0</v>
      </c>
      <c r="DO1070">
        <v>0</v>
      </c>
      <c r="DP1070">
        <v>1</v>
      </c>
      <c r="DQ1070">
        <v>0</v>
      </c>
      <c r="DR1070">
        <v>0</v>
      </c>
      <c r="DS1070">
        <v>0</v>
      </c>
    </row>
    <row r="1071" spans="1:123" x14ac:dyDescent="0.25">
      <c r="A1071" t="str">
        <f>"11/29/2023 20:27:08.665"</f>
        <v>11/29/2023 20:27:08.665</v>
      </c>
      <c r="C1071" t="str">
        <f t="shared" si="123"/>
        <v>FFDF53C0</v>
      </c>
      <c r="D1071" t="s">
        <v>135</v>
      </c>
      <c r="E1071">
        <v>31</v>
      </c>
      <c r="H1071">
        <v>285</v>
      </c>
      <c r="I1071" t="s">
        <v>136</v>
      </c>
      <c r="J1071" t="s">
        <v>137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>"20:27:08.258"</f>
        <v>20:27:08.258</v>
      </c>
      <c r="T1071" t="str">
        <f>"20:27:08.258"</f>
        <v>20:27:08.258</v>
      </c>
      <c r="U1071" t="str">
        <f t="shared" si="119"/>
        <v>AA0632</v>
      </c>
      <c r="V1071">
        <v>0</v>
      </c>
      <c r="W1071">
        <v>0</v>
      </c>
      <c r="X1071">
        <v>2</v>
      </c>
      <c r="Y1071">
        <v>0</v>
      </c>
      <c r="AA1071">
        <v>0</v>
      </c>
      <c r="AB1071">
        <v>9</v>
      </c>
      <c r="AC1071">
        <v>3</v>
      </c>
      <c r="AD1071">
        <v>0</v>
      </c>
      <c r="AE1071">
        <v>10</v>
      </c>
      <c r="AF1071" t="s">
        <v>126</v>
      </c>
      <c r="AG1071">
        <v>0</v>
      </c>
      <c r="AH1071">
        <v>0</v>
      </c>
      <c r="AI1071">
        <v>2</v>
      </c>
      <c r="AJ1071">
        <v>0</v>
      </c>
      <c r="AK1071" t="s">
        <v>648</v>
      </c>
      <c r="AL1071">
        <v>31.920776</v>
      </c>
      <c r="AM1071" t="s">
        <v>645</v>
      </c>
      <c r="AN1071">
        <v>-100.971715</v>
      </c>
      <c r="AQ1071" t="s">
        <v>129</v>
      </c>
      <c r="AR1071">
        <v>3</v>
      </c>
      <c r="AS1071">
        <v>39</v>
      </c>
      <c r="AT1071">
        <v>-128</v>
      </c>
      <c r="BB1071" t="str">
        <f t="shared" si="120"/>
        <v>1200</v>
      </c>
      <c r="BC1071">
        <v>1</v>
      </c>
      <c r="BD1071" t="str">
        <f t="shared" si="124"/>
        <v xml:space="preserve">N745MB  </v>
      </c>
      <c r="BE1071">
        <v>1</v>
      </c>
      <c r="BG1071">
        <v>0</v>
      </c>
      <c r="BH1071">
        <v>0</v>
      </c>
      <c r="BI1071">
        <v>0</v>
      </c>
      <c r="BL1071" t="s">
        <v>130</v>
      </c>
      <c r="BM1071">
        <v>1</v>
      </c>
      <c r="BN1071">
        <v>0</v>
      </c>
      <c r="BO1071">
        <v>0</v>
      </c>
      <c r="BP1071">
        <v>0</v>
      </c>
      <c r="BT1071">
        <v>0</v>
      </c>
      <c r="BU1071">
        <v>0</v>
      </c>
      <c r="CE1071" t="str">
        <f>"20:27:08.264"</f>
        <v>20:27:08.264</v>
      </c>
      <c r="CF1071">
        <v>263683913</v>
      </c>
      <c r="CS1071">
        <v>0</v>
      </c>
      <c r="CT1071">
        <v>2</v>
      </c>
      <c r="CU1071">
        <v>0</v>
      </c>
      <c r="CV1071">
        <v>2</v>
      </c>
      <c r="CW1071">
        <v>0</v>
      </c>
      <c r="CX1071">
        <v>5</v>
      </c>
      <c r="CY1071">
        <v>7</v>
      </c>
      <c r="CZ1071" t="s">
        <v>131</v>
      </c>
      <c r="DA1071">
        <v>116</v>
      </c>
      <c r="DB1071">
        <v>0</v>
      </c>
      <c r="DC1071" t="s">
        <v>132</v>
      </c>
      <c r="DD1071" t="s">
        <v>133</v>
      </c>
      <c r="DG1071">
        <v>14729333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1</v>
      </c>
      <c r="DQ1071">
        <v>0</v>
      </c>
      <c r="DR1071">
        <v>0</v>
      </c>
      <c r="DS1071">
        <v>0</v>
      </c>
    </row>
    <row r="1072" spans="1:123" x14ac:dyDescent="0.25">
      <c r="A1072" t="str">
        <f>"11/29/2023 20:27:08.665"</f>
        <v>11/29/2023 20:27:08.665</v>
      </c>
      <c r="C1072" t="str">
        <f t="shared" si="123"/>
        <v>FFDF53C0</v>
      </c>
      <c r="D1072" t="s">
        <v>164</v>
      </c>
      <c r="E1072">
        <v>24</v>
      </c>
      <c r="F1072">
        <v>2024</v>
      </c>
      <c r="G1072" t="s">
        <v>165</v>
      </c>
      <c r="J1072" t="s">
        <v>166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>"20:27:08.258"</f>
        <v>20:27:08.258</v>
      </c>
      <c r="U1072" t="str">
        <f t="shared" si="119"/>
        <v>AA0632</v>
      </c>
      <c r="V1072">
        <v>0</v>
      </c>
      <c r="W1072">
        <v>0</v>
      </c>
      <c r="X1072">
        <v>2</v>
      </c>
      <c r="Y1072">
        <v>0</v>
      </c>
      <c r="AA1072">
        <v>0</v>
      </c>
      <c r="AB1072">
        <v>9</v>
      </c>
      <c r="AC1072">
        <v>3</v>
      </c>
      <c r="AD1072">
        <v>0</v>
      </c>
      <c r="AE1072">
        <v>10</v>
      </c>
      <c r="AF1072" t="s">
        <v>126</v>
      </c>
      <c r="AG1072">
        <v>0</v>
      </c>
      <c r="AH1072">
        <v>0</v>
      </c>
      <c r="AI1072">
        <v>2</v>
      </c>
      <c r="AJ1072">
        <v>0</v>
      </c>
      <c r="AK1072" t="s">
        <v>648</v>
      </c>
      <c r="AL1072">
        <v>31.920776</v>
      </c>
      <c r="AM1072" t="s">
        <v>645</v>
      </c>
      <c r="AN1072">
        <v>-100.971715</v>
      </c>
      <c r="AQ1072" t="s">
        <v>129</v>
      </c>
      <c r="AT1072">
        <v>-64</v>
      </c>
      <c r="BB1072" t="str">
        <f t="shared" si="120"/>
        <v>1200</v>
      </c>
      <c r="BC1072">
        <v>1</v>
      </c>
      <c r="BD1072" t="str">
        <f t="shared" si="124"/>
        <v xml:space="preserve">N745MB  </v>
      </c>
      <c r="BE1072">
        <v>1</v>
      </c>
      <c r="BG1072">
        <v>0</v>
      </c>
      <c r="BH1072">
        <v>0</v>
      </c>
      <c r="BI1072">
        <v>0</v>
      </c>
      <c r="BL1072" t="s">
        <v>130</v>
      </c>
      <c r="BM1072">
        <v>1</v>
      </c>
      <c r="BN1072">
        <v>0</v>
      </c>
      <c r="BO1072">
        <v>0</v>
      </c>
      <c r="BP1072">
        <v>0</v>
      </c>
      <c r="BT1072">
        <v>0</v>
      </c>
      <c r="BU1072">
        <v>0</v>
      </c>
      <c r="CE1072" t="str">
        <f>"20:27:08.264"</f>
        <v>20:27:08.264</v>
      </c>
      <c r="CF1072">
        <v>263688704</v>
      </c>
      <c r="CS1072">
        <v>0</v>
      </c>
      <c r="CT1072">
        <v>2</v>
      </c>
      <c r="CU1072">
        <v>0</v>
      </c>
      <c r="CV1072">
        <v>2</v>
      </c>
      <c r="CW1072">
        <v>0</v>
      </c>
      <c r="CX1072">
        <v>2</v>
      </c>
      <c r="CY1072">
        <v>7</v>
      </c>
      <c r="CZ1072" t="s">
        <v>131</v>
      </c>
      <c r="DA1072">
        <v>483</v>
      </c>
      <c r="DB1072">
        <v>1</v>
      </c>
      <c r="DC1072" t="s">
        <v>169</v>
      </c>
      <c r="DD1072" t="s">
        <v>170</v>
      </c>
      <c r="DG1072">
        <v>7386416</v>
      </c>
      <c r="DI1072">
        <v>0</v>
      </c>
      <c r="DJ1072">
        <v>0</v>
      </c>
      <c r="DK1072">
        <v>1</v>
      </c>
      <c r="DL1072">
        <v>0</v>
      </c>
      <c r="DM1072">
        <v>0</v>
      </c>
      <c r="DN1072">
        <v>0</v>
      </c>
      <c r="DO1072">
        <v>0</v>
      </c>
      <c r="DP1072">
        <v>1</v>
      </c>
      <c r="DQ1072">
        <v>0</v>
      </c>
      <c r="DR1072">
        <v>0</v>
      </c>
      <c r="DS1072">
        <v>0</v>
      </c>
    </row>
    <row r="1073" spans="1:123" x14ac:dyDescent="0.25">
      <c r="A1073" t="str">
        <f>"11/29/2023 20:27:08.665"</f>
        <v>11/29/2023 20:27:08.665</v>
      </c>
      <c r="C1073" t="str">
        <f t="shared" si="123"/>
        <v>FFDF53C0</v>
      </c>
      <c r="D1073" t="s">
        <v>123</v>
      </c>
      <c r="E1073">
        <v>14</v>
      </c>
      <c r="F1073">
        <v>1014</v>
      </c>
      <c r="G1073" t="s">
        <v>124</v>
      </c>
      <c r="J1073" t="s">
        <v>125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>"20:27:08.258"</f>
        <v>20:27:08.258</v>
      </c>
      <c r="T1073" t="str">
        <f>"20:27:08.258"</f>
        <v>20:27:08.258</v>
      </c>
      <c r="U1073" t="str">
        <f t="shared" si="119"/>
        <v>AA0632</v>
      </c>
      <c r="V1073">
        <v>0</v>
      </c>
      <c r="W1073">
        <v>0</v>
      </c>
      <c r="X1073">
        <v>2</v>
      </c>
      <c r="Y1073">
        <v>0</v>
      </c>
      <c r="AA1073">
        <v>0</v>
      </c>
      <c r="AB1073">
        <v>9</v>
      </c>
      <c r="AC1073">
        <v>3</v>
      </c>
      <c r="AD1073">
        <v>0</v>
      </c>
      <c r="AE1073">
        <v>10</v>
      </c>
      <c r="AF1073" t="s">
        <v>126</v>
      </c>
      <c r="AG1073">
        <v>0</v>
      </c>
      <c r="AH1073">
        <v>0</v>
      </c>
      <c r="AI1073">
        <v>2</v>
      </c>
      <c r="AJ1073">
        <v>0</v>
      </c>
      <c r="AK1073" t="s">
        <v>648</v>
      </c>
      <c r="AL1073">
        <v>31.920776</v>
      </c>
      <c r="AM1073" t="s">
        <v>645</v>
      </c>
      <c r="AN1073">
        <v>-100.971715</v>
      </c>
      <c r="AQ1073" t="s">
        <v>129</v>
      </c>
      <c r="AR1073">
        <v>3</v>
      </c>
      <c r="AS1073">
        <v>39</v>
      </c>
      <c r="AT1073">
        <v>-128</v>
      </c>
      <c r="BB1073" t="str">
        <f t="shared" si="120"/>
        <v>1200</v>
      </c>
      <c r="BC1073">
        <v>1</v>
      </c>
      <c r="BD1073" t="str">
        <f t="shared" si="124"/>
        <v xml:space="preserve">N745MB  </v>
      </c>
      <c r="BE1073">
        <v>1</v>
      </c>
      <c r="BG1073">
        <v>0</v>
      </c>
      <c r="BH1073">
        <v>0</v>
      </c>
      <c r="BI1073">
        <v>0</v>
      </c>
      <c r="BL1073" t="s">
        <v>130</v>
      </c>
      <c r="BM1073">
        <v>1</v>
      </c>
      <c r="BN1073">
        <v>0</v>
      </c>
      <c r="BO1073">
        <v>0</v>
      </c>
      <c r="BP1073">
        <v>0</v>
      </c>
      <c r="BT1073">
        <v>0</v>
      </c>
      <c r="BU1073">
        <v>0</v>
      </c>
      <c r="CE1073" t="str">
        <f>"20:27:08.264"</f>
        <v>20:27:08.264</v>
      </c>
      <c r="CF1073">
        <v>263683913</v>
      </c>
      <c r="CS1073">
        <v>0</v>
      </c>
      <c r="CT1073">
        <v>2</v>
      </c>
      <c r="CU1073">
        <v>0</v>
      </c>
      <c r="CV1073">
        <v>2</v>
      </c>
      <c r="CW1073">
        <v>0</v>
      </c>
      <c r="CX1073">
        <v>5</v>
      </c>
      <c r="CY1073">
        <v>7</v>
      </c>
      <c r="CZ1073" t="s">
        <v>131</v>
      </c>
      <c r="DA1073">
        <v>116</v>
      </c>
      <c r="DB1073">
        <v>0</v>
      </c>
      <c r="DC1073" t="s">
        <v>132</v>
      </c>
      <c r="DD1073" t="s">
        <v>133</v>
      </c>
      <c r="DG1073">
        <v>14729333</v>
      </c>
      <c r="DI1073">
        <v>0</v>
      </c>
      <c r="DJ1073">
        <v>0</v>
      </c>
      <c r="DK1073">
        <v>1</v>
      </c>
      <c r="DL1073">
        <v>0</v>
      </c>
      <c r="DM1073">
        <v>0</v>
      </c>
      <c r="DN1073">
        <v>0</v>
      </c>
      <c r="DO1073">
        <v>0</v>
      </c>
      <c r="DP1073">
        <v>1</v>
      </c>
      <c r="DQ1073">
        <v>0</v>
      </c>
      <c r="DR1073">
        <v>0</v>
      </c>
      <c r="DS1073">
        <v>0</v>
      </c>
    </row>
    <row r="1074" spans="1:123" x14ac:dyDescent="0.25">
      <c r="A1074" t="str">
        <f>"11/29/2023 20:27:08.665"</f>
        <v>11/29/2023 20:27:08.665</v>
      </c>
      <c r="C1074" t="str">
        <f t="shared" si="123"/>
        <v>FFDF53C0</v>
      </c>
      <c r="D1074" t="s">
        <v>123</v>
      </c>
      <c r="E1074">
        <v>1</v>
      </c>
      <c r="F1074">
        <v>1001</v>
      </c>
      <c r="G1074" t="s">
        <v>134</v>
      </c>
      <c r="J1074" t="s">
        <v>125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>"20:27:08.258"</f>
        <v>20:27:08.258</v>
      </c>
      <c r="T1074" t="str">
        <f>"20:27:08.258"</f>
        <v>20:27:08.258</v>
      </c>
      <c r="U1074" t="str">
        <f t="shared" si="119"/>
        <v>AA0632</v>
      </c>
      <c r="V1074">
        <v>0</v>
      </c>
      <c r="W1074">
        <v>0</v>
      </c>
      <c r="X1074">
        <v>2</v>
      </c>
      <c r="Y1074">
        <v>0</v>
      </c>
      <c r="AA1074">
        <v>0</v>
      </c>
      <c r="AB1074">
        <v>9</v>
      </c>
      <c r="AC1074">
        <v>3</v>
      </c>
      <c r="AD1074">
        <v>0</v>
      </c>
      <c r="AE1074">
        <v>10</v>
      </c>
      <c r="AF1074" t="s">
        <v>126</v>
      </c>
      <c r="AG1074">
        <v>0</v>
      </c>
      <c r="AH1074">
        <v>0</v>
      </c>
      <c r="AI1074">
        <v>2</v>
      </c>
      <c r="AJ1074">
        <v>0</v>
      </c>
      <c r="AK1074" t="s">
        <v>648</v>
      </c>
      <c r="AL1074">
        <v>31.920776</v>
      </c>
      <c r="AM1074" t="s">
        <v>645</v>
      </c>
      <c r="AN1074">
        <v>-100.971715</v>
      </c>
      <c r="AQ1074" t="s">
        <v>129</v>
      </c>
      <c r="AR1074">
        <v>3</v>
      </c>
      <c r="AS1074">
        <v>39</v>
      </c>
      <c r="AT1074">
        <v>-128</v>
      </c>
      <c r="BB1074" t="str">
        <f t="shared" si="120"/>
        <v>1200</v>
      </c>
      <c r="BC1074">
        <v>1</v>
      </c>
      <c r="BD1074" t="str">
        <f t="shared" si="124"/>
        <v xml:space="preserve">N745MB  </v>
      </c>
      <c r="BE1074">
        <v>1</v>
      </c>
      <c r="BG1074">
        <v>0</v>
      </c>
      <c r="BH1074">
        <v>0</v>
      </c>
      <c r="BI1074">
        <v>0</v>
      </c>
      <c r="BL1074" t="s">
        <v>130</v>
      </c>
      <c r="BM1074">
        <v>1</v>
      </c>
      <c r="BN1074">
        <v>0</v>
      </c>
      <c r="BO1074">
        <v>0</v>
      </c>
      <c r="BP1074">
        <v>0</v>
      </c>
      <c r="BT1074">
        <v>0</v>
      </c>
      <c r="BU1074">
        <v>0</v>
      </c>
      <c r="CE1074" t="str">
        <f>"20:27:08.264"</f>
        <v>20:27:08.264</v>
      </c>
      <c r="CF1074">
        <v>263683913</v>
      </c>
      <c r="CS1074">
        <v>0</v>
      </c>
      <c r="CT1074">
        <v>2</v>
      </c>
      <c r="CU1074">
        <v>0</v>
      </c>
      <c r="CV1074">
        <v>2</v>
      </c>
      <c r="CW1074">
        <v>0</v>
      </c>
      <c r="CX1074">
        <v>5</v>
      </c>
      <c r="CY1074">
        <v>7</v>
      </c>
      <c r="CZ1074" t="s">
        <v>131</v>
      </c>
      <c r="DA1074">
        <v>116</v>
      </c>
      <c r="DB1074">
        <v>0</v>
      </c>
      <c r="DC1074" t="s">
        <v>132</v>
      </c>
      <c r="DD1074" t="s">
        <v>133</v>
      </c>
      <c r="DG1074">
        <v>14729333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1</v>
      </c>
      <c r="DQ1074">
        <v>0</v>
      </c>
      <c r="DR1074">
        <v>0</v>
      </c>
      <c r="DS1074">
        <v>0</v>
      </c>
    </row>
    <row r="1075" spans="1:123" x14ac:dyDescent="0.25">
      <c r="A1075" t="str">
        <f>"11/29/2023 20:27:08.665"</f>
        <v>11/29/2023 20:27:08.665</v>
      </c>
      <c r="C1075" t="str">
        <f t="shared" si="123"/>
        <v>FFDF53C0</v>
      </c>
      <c r="D1075" t="s">
        <v>138</v>
      </c>
      <c r="E1075">
        <v>3</v>
      </c>
      <c r="H1075">
        <v>160</v>
      </c>
      <c r="I1075" t="s">
        <v>124</v>
      </c>
      <c r="J1075" t="s">
        <v>139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>"20:27:08.258"</f>
        <v>20:27:08.258</v>
      </c>
      <c r="T1075" t="str">
        <f>"20:27:08.258"</f>
        <v>20:27:08.258</v>
      </c>
      <c r="U1075" t="str">
        <f t="shared" si="119"/>
        <v>AA0632</v>
      </c>
      <c r="V1075">
        <v>0</v>
      </c>
      <c r="W1075">
        <v>0</v>
      </c>
      <c r="X1075">
        <v>2</v>
      </c>
      <c r="Y1075">
        <v>0</v>
      </c>
      <c r="AA1075">
        <v>0</v>
      </c>
      <c r="AB1075">
        <v>9</v>
      </c>
      <c r="AC1075">
        <v>3</v>
      </c>
      <c r="AD1075">
        <v>0</v>
      </c>
      <c r="AE1075">
        <v>10</v>
      </c>
      <c r="AF1075" t="s">
        <v>126</v>
      </c>
      <c r="AG1075">
        <v>0</v>
      </c>
      <c r="AH1075">
        <v>0</v>
      </c>
      <c r="AI1075">
        <v>2</v>
      </c>
      <c r="AJ1075">
        <v>0</v>
      </c>
      <c r="AK1075" t="s">
        <v>648</v>
      </c>
      <c r="AL1075">
        <v>31.920776</v>
      </c>
      <c r="AM1075" t="s">
        <v>645</v>
      </c>
      <c r="AN1075">
        <v>-100.971715</v>
      </c>
      <c r="AQ1075" t="s">
        <v>129</v>
      </c>
      <c r="AR1075">
        <v>3</v>
      </c>
      <c r="AS1075">
        <v>39</v>
      </c>
      <c r="AT1075">
        <v>-128</v>
      </c>
      <c r="BB1075" t="str">
        <f t="shared" si="120"/>
        <v>1200</v>
      </c>
      <c r="BC1075">
        <v>1</v>
      </c>
      <c r="BD1075" t="str">
        <f t="shared" si="124"/>
        <v xml:space="preserve">N745MB  </v>
      </c>
      <c r="BE1075">
        <v>1</v>
      </c>
      <c r="BG1075">
        <v>0</v>
      </c>
      <c r="BH1075">
        <v>0</v>
      </c>
      <c r="BI1075">
        <v>0</v>
      </c>
      <c r="BL1075" t="s">
        <v>130</v>
      </c>
      <c r="BM1075">
        <v>1</v>
      </c>
      <c r="BN1075">
        <v>0</v>
      </c>
      <c r="BO1075">
        <v>0</v>
      </c>
      <c r="BP1075">
        <v>0</v>
      </c>
      <c r="BT1075">
        <v>0</v>
      </c>
      <c r="BU1075">
        <v>0</v>
      </c>
      <c r="CE1075" t="str">
        <f>"20:27:08.264"</f>
        <v>20:27:08.264</v>
      </c>
      <c r="CF1075">
        <v>263683913</v>
      </c>
      <c r="CS1075">
        <v>0</v>
      </c>
      <c r="CT1075">
        <v>2</v>
      </c>
      <c r="CU1075">
        <v>0</v>
      </c>
      <c r="CV1075">
        <v>2</v>
      </c>
      <c r="CW1075">
        <v>0</v>
      </c>
      <c r="CX1075">
        <v>5</v>
      </c>
      <c r="CY1075">
        <v>7</v>
      </c>
      <c r="CZ1075" t="s">
        <v>131</v>
      </c>
      <c r="DA1075">
        <v>116</v>
      </c>
      <c r="DB1075">
        <v>0</v>
      </c>
      <c r="DC1075" t="s">
        <v>132</v>
      </c>
      <c r="DD1075" t="s">
        <v>133</v>
      </c>
      <c r="DG1075">
        <v>14729333</v>
      </c>
      <c r="DI1075">
        <v>0</v>
      </c>
      <c r="DJ1075">
        <v>0</v>
      </c>
      <c r="DK1075">
        <v>1</v>
      </c>
      <c r="DL1075">
        <v>0</v>
      </c>
      <c r="DM1075">
        <v>0</v>
      </c>
      <c r="DN1075">
        <v>0</v>
      </c>
      <c r="DO1075">
        <v>0</v>
      </c>
      <c r="DP1075">
        <v>1</v>
      </c>
      <c r="DQ1075">
        <v>0</v>
      </c>
      <c r="DR1075">
        <v>0</v>
      </c>
      <c r="DS1075">
        <v>0</v>
      </c>
    </row>
    <row r="1076" spans="1:123" x14ac:dyDescent="0.25">
      <c r="A1076" t="str">
        <f>"11/29/2023 20:27:10.196"</f>
        <v>11/29/2023 20:27:10.196</v>
      </c>
      <c r="C1076" t="str">
        <f t="shared" si="123"/>
        <v>FFDF53C0</v>
      </c>
      <c r="D1076" t="s">
        <v>123</v>
      </c>
      <c r="E1076">
        <v>1</v>
      </c>
      <c r="F1076">
        <v>1001</v>
      </c>
      <c r="G1076" t="s">
        <v>134</v>
      </c>
      <c r="J1076" t="s">
        <v>125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>"20:27:09.789"</f>
        <v>20:27:09.789</v>
      </c>
      <c r="T1076" t="str">
        <f>"20:27:09.289"</f>
        <v>20:27:09.289</v>
      </c>
      <c r="U1076" t="str">
        <f t="shared" si="119"/>
        <v>AA0632</v>
      </c>
      <c r="V1076">
        <v>0</v>
      </c>
      <c r="W1076">
        <v>0</v>
      </c>
      <c r="X1076">
        <v>2</v>
      </c>
      <c r="Y1076">
        <v>0</v>
      </c>
      <c r="AA1076">
        <v>0</v>
      </c>
      <c r="AB1076">
        <v>9</v>
      </c>
      <c r="AC1076">
        <v>3</v>
      </c>
      <c r="AD1076">
        <v>0</v>
      </c>
      <c r="AE1076">
        <v>10</v>
      </c>
      <c r="AF1076" t="s">
        <v>126</v>
      </c>
      <c r="AG1076">
        <v>0</v>
      </c>
      <c r="AH1076">
        <v>0</v>
      </c>
      <c r="AI1076">
        <v>2</v>
      </c>
      <c r="AJ1076">
        <v>0</v>
      </c>
      <c r="AK1076" t="s">
        <v>649</v>
      </c>
      <c r="AL1076">
        <v>31.921054999999999</v>
      </c>
      <c r="AM1076" t="s">
        <v>650</v>
      </c>
      <c r="AN1076">
        <v>-100.97165099999999</v>
      </c>
      <c r="AQ1076" t="s">
        <v>129</v>
      </c>
      <c r="AR1076">
        <v>8</v>
      </c>
      <c r="AS1076">
        <v>37</v>
      </c>
      <c r="AT1076">
        <v>-192</v>
      </c>
      <c r="BB1076" t="str">
        <f t="shared" si="120"/>
        <v>1200</v>
      </c>
      <c r="BC1076">
        <v>1</v>
      </c>
      <c r="BD1076" t="str">
        <f t="shared" si="124"/>
        <v xml:space="preserve">N745MB  </v>
      </c>
      <c r="BE1076">
        <v>1</v>
      </c>
      <c r="BG1076">
        <v>0</v>
      </c>
      <c r="BH1076">
        <v>0</v>
      </c>
      <c r="BI1076">
        <v>0</v>
      </c>
      <c r="BL1076" t="s">
        <v>130</v>
      </c>
      <c r="BM1076">
        <v>1</v>
      </c>
      <c r="BN1076">
        <v>0</v>
      </c>
      <c r="BO1076">
        <v>0</v>
      </c>
      <c r="BP1076">
        <v>0</v>
      </c>
      <c r="BT1076">
        <v>0</v>
      </c>
      <c r="BU1076">
        <v>0</v>
      </c>
      <c r="CE1076" t="str">
        <f>"20:27:09.792"</f>
        <v>20:27:09.792</v>
      </c>
      <c r="CF1076">
        <v>791545455</v>
      </c>
      <c r="CS1076">
        <v>0</v>
      </c>
      <c r="CT1076">
        <v>2</v>
      </c>
      <c r="CU1076">
        <v>0</v>
      </c>
      <c r="CV1076">
        <v>2</v>
      </c>
      <c r="CW1076">
        <v>0</v>
      </c>
      <c r="CX1076">
        <v>5</v>
      </c>
      <c r="CY1076">
        <v>7</v>
      </c>
      <c r="CZ1076" t="s">
        <v>131</v>
      </c>
      <c r="DA1076">
        <v>116</v>
      </c>
      <c r="DB1076">
        <v>0</v>
      </c>
      <c r="DC1076" t="s">
        <v>132</v>
      </c>
      <c r="DD1076" t="s">
        <v>133</v>
      </c>
      <c r="DG1076">
        <v>14730593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1</v>
      </c>
      <c r="DQ1076">
        <v>0</v>
      </c>
      <c r="DR1076">
        <v>0</v>
      </c>
      <c r="DS1076">
        <v>0</v>
      </c>
    </row>
    <row r="1077" spans="1:123" x14ac:dyDescent="0.25">
      <c r="A1077" t="str">
        <f>"11/29/2023 20:27:10.196"</f>
        <v>11/29/2023 20:27:10.196</v>
      </c>
      <c r="C1077" t="str">
        <f t="shared" si="123"/>
        <v>FFDF53C0</v>
      </c>
      <c r="D1077" t="s">
        <v>138</v>
      </c>
      <c r="E1077">
        <v>3</v>
      </c>
      <c r="H1077">
        <v>160</v>
      </c>
      <c r="I1077" t="s">
        <v>124</v>
      </c>
      <c r="J1077" t="s">
        <v>139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>"20:27:09.789"</f>
        <v>20:27:09.789</v>
      </c>
      <c r="T1077" t="str">
        <f>"20:27:09.289"</f>
        <v>20:27:09.289</v>
      </c>
      <c r="U1077" t="str">
        <f t="shared" si="119"/>
        <v>AA0632</v>
      </c>
      <c r="V1077">
        <v>0</v>
      </c>
      <c r="W1077">
        <v>0</v>
      </c>
      <c r="X1077">
        <v>2</v>
      </c>
      <c r="Y1077">
        <v>0</v>
      </c>
      <c r="AA1077">
        <v>0</v>
      </c>
      <c r="AB1077">
        <v>9</v>
      </c>
      <c r="AC1077">
        <v>3</v>
      </c>
      <c r="AD1077">
        <v>0</v>
      </c>
      <c r="AE1077">
        <v>10</v>
      </c>
      <c r="AF1077" t="s">
        <v>126</v>
      </c>
      <c r="AG1077">
        <v>0</v>
      </c>
      <c r="AH1077">
        <v>0</v>
      </c>
      <c r="AI1077">
        <v>2</v>
      </c>
      <c r="AJ1077">
        <v>0</v>
      </c>
      <c r="AK1077" t="s">
        <v>649</v>
      </c>
      <c r="AL1077">
        <v>31.921054999999999</v>
      </c>
      <c r="AM1077" t="s">
        <v>650</v>
      </c>
      <c r="AN1077">
        <v>-100.97165099999999</v>
      </c>
      <c r="AQ1077" t="s">
        <v>129</v>
      </c>
      <c r="AR1077">
        <v>8</v>
      </c>
      <c r="AS1077">
        <v>37</v>
      </c>
      <c r="AT1077">
        <v>-192</v>
      </c>
      <c r="BB1077" t="str">
        <f t="shared" si="120"/>
        <v>1200</v>
      </c>
      <c r="BC1077">
        <v>1</v>
      </c>
      <c r="BD1077" t="str">
        <f t="shared" si="124"/>
        <v xml:space="preserve">N745MB  </v>
      </c>
      <c r="BE1077">
        <v>1</v>
      </c>
      <c r="BG1077">
        <v>0</v>
      </c>
      <c r="BH1077">
        <v>0</v>
      </c>
      <c r="BI1077">
        <v>0</v>
      </c>
      <c r="BL1077" t="s">
        <v>130</v>
      </c>
      <c r="BM1077">
        <v>1</v>
      </c>
      <c r="BN1077">
        <v>0</v>
      </c>
      <c r="BO1077">
        <v>0</v>
      </c>
      <c r="BP1077">
        <v>0</v>
      </c>
      <c r="BT1077">
        <v>0</v>
      </c>
      <c r="BU1077">
        <v>0</v>
      </c>
      <c r="CE1077" t="str">
        <f>"20:27:09.792"</f>
        <v>20:27:09.792</v>
      </c>
      <c r="CF1077">
        <v>791545455</v>
      </c>
      <c r="CS1077">
        <v>0</v>
      </c>
      <c r="CT1077">
        <v>2</v>
      </c>
      <c r="CU1077">
        <v>0</v>
      </c>
      <c r="CV1077">
        <v>2</v>
      </c>
      <c r="CW1077">
        <v>0</v>
      </c>
      <c r="CX1077">
        <v>5</v>
      </c>
      <c r="CY1077">
        <v>7</v>
      </c>
      <c r="CZ1077" t="s">
        <v>131</v>
      </c>
      <c r="DA1077">
        <v>116</v>
      </c>
      <c r="DB1077">
        <v>0</v>
      </c>
      <c r="DC1077" t="s">
        <v>132</v>
      </c>
      <c r="DD1077" t="s">
        <v>133</v>
      </c>
      <c r="DG1077">
        <v>14730593</v>
      </c>
      <c r="DI1077">
        <v>0</v>
      </c>
      <c r="DJ1077">
        <v>0</v>
      </c>
      <c r="DK1077">
        <v>1</v>
      </c>
      <c r="DL1077">
        <v>0</v>
      </c>
      <c r="DM1077">
        <v>0</v>
      </c>
      <c r="DN1077">
        <v>0</v>
      </c>
      <c r="DO1077">
        <v>0</v>
      </c>
      <c r="DP1077">
        <v>1</v>
      </c>
      <c r="DQ1077">
        <v>0</v>
      </c>
      <c r="DR1077">
        <v>0</v>
      </c>
      <c r="DS1077">
        <v>0</v>
      </c>
    </row>
    <row r="1078" spans="1:123" x14ac:dyDescent="0.25">
      <c r="A1078" t="str">
        <f>"11/29/2023 20:27:10.196"</f>
        <v>11/29/2023 20:27:10.196</v>
      </c>
      <c r="C1078" t="str">
        <f t="shared" si="123"/>
        <v>FFDF53C0</v>
      </c>
      <c r="D1078" t="s">
        <v>135</v>
      </c>
      <c r="E1078">
        <v>31</v>
      </c>
      <c r="H1078">
        <v>285</v>
      </c>
      <c r="I1078" t="s">
        <v>136</v>
      </c>
      <c r="J1078" t="s">
        <v>137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>"20:27:09.789"</f>
        <v>20:27:09.789</v>
      </c>
      <c r="T1078" t="str">
        <f>"20:27:09.289"</f>
        <v>20:27:09.289</v>
      </c>
      <c r="U1078" t="str">
        <f t="shared" si="119"/>
        <v>AA0632</v>
      </c>
      <c r="V1078">
        <v>0</v>
      </c>
      <c r="W1078">
        <v>0</v>
      </c>
      <c r="X1078">
        <v>2</v>
      </c>
      <c r="Y1078">
        <v>0</v>
      </c>
      <c r="AA1078">
        <v>0</v>
      </c>
      <c r="AB1078">
        <v>9</v>
      </c>
      <c r="AC1078">
        <v>3</v>
      </c>
      <c r="AD1078">
        <v>0</v>
      </c>
      <c r="AE1078">
        <v>10</v>
      </c>
      <c r="AF1078" t="s">
        <v>126</v>
      </c>
      <c r="AG1078">
        <v>0</v>
      </c>
      <c r="AH1078">
        <v>0</v>
      </c>
      <c r="AI1078">
        <v>2</v>
      </c>
      <c r="AJ1078">
        <v>0</v>
      </c>
      <c r="AK1078" t="s">
        <v>649</v>
      </c>
      <c r="AL1078">
        <v>31.921054999999999</v>
      </c>
      <c r="AM1078" t="s">
        <v>650</v>
      </c>
      <c r="AN1078">
        <v>-100.97165099999999</v>
      </c>
      <c r="AQ1078" t="s">
        <v>129</v>
      </c>
      <c r="AR1078">
        <v>8</v>
      </c>
      <c r="AS1078">
        <v>37</v>
      </c>
      <c r="AT1078">
        <v>-192</v>
      </c>
      <c r="BB1078" t="str">
        <f t="shared" si="120"/>
        <v>1200</v>
      </c>
      <c r="BC1078">
        <v>1</v>
      </c>
      <c r="BD1078" t="str">
        <f t="shared" si="124"/>
        <v xml:space="preserve">N745MB  </v>
      </c>
      <c r="BE1078">
        <v>1</v>
      </c>
      <c r="BG1078">
        <v>0</v>
      </c>
      <c r="BH1078">
        <v>0</v>
      </c>
      <c r="BI1078">
        <v>0</v>
      </c>
      <c r="BL1078" t="s">
        <v>130</v>
      </c>
      <c r="BM1078">
        <v>1</v>
      </c>
      <c r="BN1078">
        <v>0</v>
      </c>
      <c r="BO1078">
        <v>0</v>
      </c>
      <c r="BP1078">
        <v>0</v>
      </c>
      <c r="BT1078">
        <v>0</v>
      </c>
      <c r="BU1078">
        <v>0</v>
      </c>
      <c r="CE1078" t="str">
        <f>"20:27:09.792"</f>
        <v>20:27:09.792</v>
      </c>
      <c r="CF1078">
        <v>791545455</v>
      </c>
      <c r="CS1078">
        <v>0</v>
      </c>
      <c r="CT1078">
        <v>2</v>
      </c>
      <c r="CU1078">
        <v>0</v>
      </c>
      <c r="CV1078">
        <v>2</v>
      </c>
      <c r="CW1078">
        <v>0</v>
      </c>
      <c r="CX1078">
        <v>5</v>
      </c>
      <c r="CY1078">
        <v>7</v>
      </c>
      <c r="CZ1078" t="s">
        <v>131</v>
      </c>
      <c r="DA1078">
        <v>116</v>
      </c>
      <c r="DB1078">
        <v>0</v>
      </c>
      <c r="DC1078" t="s">
        <v>132</v>
      </c>
      <c r="DD1078" t="s">
        <v>133</v>
      </c>
      <c r="DG1078">
        <v>14730593</v>
      </c>
      <c r="DI1078">
        <v>0</v>
      </c>
      <c r="DJ1078">
        <v>0</v>
      </c>
      <c r="DK1078">
        <v>1</v>
      </c>
      <c r="DL1078">
        <v>0</v>
      </c>
      <c r="DM1078">
        <v>0</v>
      </c>
      <c r="DN1078">
        <v>0</v>
      </c>
      <c r="DO1078">
        <v>0</v>
      </c>
      <c r="DP1078">
        <v>1</v>
      </c>
      <c r="DQ1078">
        <v>0</v>
      </c>
      <c r="DR1078">
        <v>0</v>
      </c>
      <c r="DS1078">
        <v>0</v>
      </c>
    </row>
    <row r="1079" spans="1:123" x14ac:dyDescent="0.25">
      <c r="A1079" t="str">
        <f>"11/29/2023 20:27:10.196"</f>
        <v>11/29/2023 20:27:10.196</v>
      </c>
      <c r="C1079" t="str">
        <f t="shared" si="123"/>
        <v>FFDF53C0</v>
      </c>
      <c r="D1079" t="s">
        <v>123</v>
      </c>
      <c r="E1079">
        <v>14</v>
      </c>
      <c r="F1079">
        <v>1014</v>
      </c>
      <c r="G1079" t="s">
        <v>124</v>
      </c>
      <c r="J1079" t="s">
        <v>125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>"20:27:09.789"</f>
        <v>20:27:09.789</v>
      </c>
      <c r="T1079" t="str">
        <f>"20:27:09.289"</f>
        <v>20:27:09.289</v>
      </c>
      <c r="U1079" t="str">
        <f t="shared" si="119"/>
        <v>AA0632</v>
      </c>
      <c r="V1079">
        <v>0</v>
      </c>
      <c r="W1079">
        <v>0</v>
      </c>
      <c r="X1079">
        <v>2</v>
      </c>
      <c r="Y1079">
        <v>0</v>
      </c>
      <c r="AA1079">
        <v>0</v>
      </c>
      <c r="AB1079">
        <v>9</v>
      </c>
      <c r="AC1079">
        <v>3</v>
      </c>
      <c r="AD1079">
        <v>0</v>
      </c>
      <c r="AE1079">
        <v>10</v>
      </c>
      <c r="AF1079" t="s">
        <v>126</v>
      </c>
      <c r="AG1079">
        <v>0</v>
      </c>
      <c r="AH1079">
        <v>0</v>
      </c>
      <c r="AI1079">
        <v>2</v>
      </c>
      <c r="AJ1079">
        <v>0</v>
      </c>
      <c r="AK1079" t="s">
        <v>649</v>
      </c>
      <c r="AL1079">
        <v>31.921054999999999</v>
      </c>
      <c r="AM1079" t="s">
        <v>650</v>
      </c>
      <c r="AN1079">
        <v>-100.97165099999999</v>
      </c>
      <c r="AQ1079" t="s">
        <v>129</v>
      </c>
      <c r="AR1079">
        <v>8</v>
      </c>
      <c r="AS1079">
        <v>37</v>
      </c>
      <c r="AT1079">
        <v>-192</v>
      </c>
      <c r="BB1079" t="str">
        <f t="shared" si="120"/>
        <v>1200</v>
      </c>
      <c r="BC1079">
        <v>1</v>
      </c>
      <c r="BD1079" t="str">
        <f t="shared" si="124"/>
        <v xml:space="preserve">N745MB  </v>
      </c>
      <c r="BE1079">
        <v>1</v>
      </c>
      <c r="BG1079">
        <v>0</v>
      </c>
      <c r="BH1079">
        <v>0</v>
      </c>
      <c r="BI1079">
        <v>0</v>
      </c>
      <c r="BL1079" t="s">
        <v>130</v>
      </c>
      <c r="BM1079">
        <v>1</v>
      </c>
      <c r="BN1079">
        <v>0</v>
      </c>
      <c r="BO1079">
        <v>0</v>
      </c>
      <c r="BP1079">
        <v>0</v>
      </c>
      <c r="BT1079">
        <v>0</v>
      </c>
      <c r="BU1079">
        <v>0</v>
      </c>
      <c r="CE1079" t="str">
        <f>"20:27:09.792"</f>
        <v>20:27:09.792</v>
      </c>
      <c r="CF1079">
        <v>791545455</v>
      </c>
      <c r="CS1079">
        <v>0</v>
      </c>
      <c r="CT1079">
        <v>2</v>
      </c>
      <c r="CU1079">
        <v>0</v>
      </c>
      <c r="CV1079">
        <v>2</v>
      </c>
      <c r="CW1079">
        <v>0</v>
      </c>
      <c r="CX1079">
        <v>5</v>
      </c>
      <c r="CY1079">
        <v>7</v>
      </c>
      <c r="CZ1079" t="s">
        <v>131</v>
      </c>
      <c r="DA1079">
        <v>116</v>
      </c>
      <c r="DB1079">
        <v>0</v>
      </c>
      <c r="DC1079" t="s">
        <v>132</v>
      </c>
      <c r="DD1079" t="s">
        <v>133</v>
      </c>
      <c r="DG1079">
        <v>14730593</v>
      </c>
      <c r="DI1079">
        <v>0</v>
      </c>
      <c r="DJ1079">
        <v>0</v>
      </c>
      <c r="DK1079">
        <v>1</v>
      </c>
      <c r="DL1079">
        <v>0</v>
      </c>
      <c r="DM1079">
        <v>0</v>
      </c>
      <c r="DN1079">
        <v>0</v>
      </c>
      <c r="DO1079">
        <v>0</v>
      </c>
      <c r="DP1079">
        <v>1</v>
      </c>
      <c r="DQ1079">
        <v>0</v>
      </c>
      <c r="DR1079">
        <v>0</v>
      </c>
      <c r="DS1079">
        <v>0</v>
      </c>
    </row>
    <row r="1080" spans="1:123" x14ac:dyDescent="0.25">
      <c r="A1080" t="str">
        <f>"11/29/2023 20:27:11.759"</f>
        <v>11/29/2023 20:27:11.759</v>
      </c>
      <c r="C1080" t="str">
        <f t="shared" si="123"/>
        <v>FFDF53C0</v>
      </c>
      <c r="D1080" t="s">
        <v>123</v>
      </c>
      <c r="E1080">
        <v>14</v>
      </c>
      <c r="F1080">
        <v>1014</v>
      </c>
      <c r="G1080" t="s">
        <v>124</v>
      </c>
      <c r="J1080" t="s">
        <v>125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>"20:27:11.383"</f>
        <v>20:27:11.383</v>
      </c>
      <c r="T1080" t="str">
        <f>"20:27:10.983"</f>
        <v>20:27:10.983</v>
      </c>
      <c r="U1080" t="str">
        <f t="shared" si="119"/>
        <v>AA0632</v>
      </c>
      <c r="V1080">
        <v>0</v>
      </c>
      <c r="W1080">
        <v>0</v>
      </c>
      <c r="X1080">
        <v>2</v>
      </c>
      <c r="Y1080">
        <v>0</v>
      </c>
      <c r="AA1080">
        <v>0</v>
      </c>
      <c r="AB1080">
        <v>9</v>
      </c>
      <c r="AC1080">
        <v>3</v>
      </c>
      <c r="AD1080">
        <v>0</v>
      </c>
      <c r="AE1080">
        <v>10</v>
      </c>
      <c r="AF1080" t="s">
        <v>126</v>
      </c>
      <c r="AG1080">
        <v>0</v>
      </c>
      <c r="AH1080">
        <v>0</v>
      </c>
      <c r="AI1080">
        <v>2</v>
      </c>
      <c r="AJ1080">
        <v>0</v>
      </c>
      <c r="AK1080" t="s">
        <v>651</v>
      </c>
      <c r="AL1080">
        <v>31.92127</v>
      </c>
      <c r="AM1080" t="s">
        <v>605</v>
      </c>
      <c r="AN1080">
        <v>-100.97154399999999</v>
      </c>
      <c r="AQ1080" t="s">
        <v>129</v>
      </c>
      <c r="AR1080">
        <v>13</v>
      </c>
      <c r="AS1080">
        <v>33</v>
      </c>
      <c r="AT1080">
        <v>-256</v>
      </c>
      <c r="BB1080" t="str">
        <f t="shared" si="120"/>
        <v>1200</v>
      </c>
      <c r="BC1080">
        <v>1</v>
      </c>
      <c r="BD1080" t="str">
        <f t="shared" si="124"/>
        <v xml:space="preserve">N745MB  </v>
      </c>
      <c r="BE1080">
        <v>1</v>
      </c>
      <c r="BG1080">
        <v>0</v>
      </c>
      <c r="BH1080">
        <v>0</v>
      </c>
      <c r="BI1080">
        <v>0</v>
      </c>
      <c r="BL1080" t="s">
        <v>130</v>
      </c>
      <c r="BM1080">
        <v>1</v>
      </c>
      <c r="BN1080">
        <v>0</v>
      </c>
      <c r="BO1080">
        <v>0</v>
      </c>
      <c r="BP1080">
        <v>0</v>
      </c>
      <c r="BT1080">
        <v>0</v>
      </c>
      <c r="BU1080">
        <v>0</v>
      </c>
      <c r="CE1080" t="str">
        <f>"20:27:11.383"</f>
        <v>20:27:11.383</v>
      </c>
      <c r="CF1080">
        <v>383439496</v>
      </c>
      <c r="CS1080">
        <v>0</v>
      </c>
      <c r="CT1080">
        <v>2</v>
      </c>
      <c r="CU1080">
        <v>0</v>
      </c>
      <c r="CV1080">
        <v>2</v>
      </c>
      <c r="CW1080">
        <v>0</v>
      </c>
      <c r="CX1080">
        <v>6</v>
      </c>
      <c r="CY1080">
        <v>7</v>
      </c>
      <c r="CZ1080" t="s">
        <v>131</v>
      </c>
      <c r="DA1080">
        <v>116</v>
      </c>
      <c r="DB1080">
        <v>0</v>
      </c>
      <c r="DC1080" t="s">
        <v>132</v>
      </c>
      <c r="DD1080" t="s">
        <v>133</v>
      </c>
      <c r="DG1080">
        <v>14731917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1</v>
      </c>
      <c r="DQ1080">
        <v>0</v>
      </c>
      <c r="DR1080">
        <v>0</v>
      </c>
      <c r="DS1080">
        <v>0</v>
      </c>
    </row>
    <row r="1081" spans="1:123" x14ac:dyDescent="0.25">
      <c r="A1081" t="str">
        <f>"11/29/2023 20:27:11.790"</f>
        <v>11/29/2023 20:27:11.790</v>
      </c>
      <c r="C1081" t="str">
        <f t="shared" si="123"/>
        <v>FFDF53C0</v>
      </c>
      <c r="D1081" t="s">
        <v>135</v>
      </c>
      <c r="E1081">
        <v>31</v>
      </c>
      <c r="H1081">
        <v>285</v>
      </c>
      <c r="I1081" t="s">
        <v>136</v>
      </c>
      <c r="J1081" t="s">
        <v>137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>"20:27:11.383"</f>
        <v>20:27:11.383</v>
      </c>
      <c r="T1081" t="str">
        <f>"20:27:10.983"</f>
        <v>20:27:10.983</v>
      </c>
      <c r="U1081" t="str">
        <f t="shared" si="119"/>
        <v>AA0632</v>
      </c>
      <c r="V1081">
        <v>0</v>
      </c>
      <c r="W1081">
        <v>0</v>
      </c>
      <c r="X1081">
        <v>2</v>
      </c>
      <c r="Y1081">
        <v>0</v>
      </c>
      <c r="AA1081">
        <v>0</v>
      </c>
      <c r="AB1081">
        <v>9</v>
      </c>
      <c r="AC1081">
        <v>3</v>
      </c>
      <c r="AD1081">
        <v>0</v>
      </c>
      <c r="AE1081">
        <v>10</v>
      </c>
      <c r="AF1081" t="s">
        <v>126</v>
      </c>
      <c r="AG1081">
        <v>0</v>
      </c>
      <c r="AH1081">
        <v>0</v>
      </c>
      <c r="AI1081">
        <v>2</v>
      </c>
      <c r="AJ1081">
        <v>0</v>
      </c>
      <c r="AK1081" t="s">
        <v>651</v>
      </c>
      <c r="AL1081">
        <v>31.92127</v>
      </c>
      <c r="AM1081" t="s">
        <v>605</v>
      </c>
      <c r="AN1081">
        <v>-100.97154399999999</v>
      </c>
      <c r="AQ1081" t="s">
        <v>129</v>
      </c>
      <c r="AR1081">
        <v>13</v>
      </c>
      <c r="AS1081">
        <v>33</v>
      </c>
      <c r="AT1081">
        <v>-256</v>
      </c>
      <c r="BB1081" t="str">
        <f t="shared" si="120"/>
        <v>1200</v>
      </c>
      <c r="BC1081">
        <v>1</v>
      </c>
      <c r="BD1081" t="str">
        <f t="shared" si="124"/>
        <v xml:space="preserve">N745MB  </v>
      </c>
      <c r="BE1081">
        <v>1</v>
      </c>
      <c r="BG1081">
        <v>0</v>
      </c>
      <c r="BH1081">
        <v>0</v>
      </c>
      <c r="BI1081">
        <v>0</v>
      </c>
      <c r="BL1081" t="s">
        <v>130</v>
      </c>
      <c r="BM1081">
        <v>1</v>
      </c>
      <c r="BN1081">
        <v>0</v>
      </c>
      <c r="BO1081">
        <v>0</v>
      </c>
      <c r="BP1081">
        <v>0</v>
      </c>
      <c r="BT1081">
        <v>0</v>
      </c>
      <c r="BU1081">
        <v>0</v>
      </c>
      <c r="CE1081" t="str">
        <f>"20:27:11.383"</f>
        <v>20:27:11.383</v>
      </c>
      <c r="CF1081">
        <v>383439496</v>
      </c>
      <c r="CS1081">
        <v>0</v>
      </c>
      <c r="CT1081">
        <v>2</v>
      </c>
      <c r="CU1081">
        <v>0</v>
      </c>
      <c r="CV1081">
        <v>2</v>
      </c>
      <c r="CW1081">
        <v>0</v>
      </c>
      <c r="CX1081">
        <v>6</v>
      </c>
      <c r="CY1081">
        <v>7</v>
      </c>
      <c r="CZ1081" t="s">
        <v>131</v>
      </c>
      <c r="DA1081">
        <v>116</v>
      </c>
      <c r="DB1081">
        <v>0</v>
      </c>
      <c r="DC1081" t="s">
        <v>132</v>
      </c>
      <c r="DD1081" t="s">
        <v>133</v>
      </c>
      <c r="DG1081">
        <v>14731917</v>
      </c>
      <c r="DI1081">
        <v>0</v>
      </c>
      <c r="DJ1081">
        <v>0</v>
      </c>
      <c r="DK1081">
        <v>1</v>
      </c>
      <c r="DL1081">
        <v>0</v>
      </c>
      <c r="DM1081">
        <v>0</v>
      </c>
      <c r="DN1081">
        <v>0</v>
      </c>
      <c r="DO1081">
        <v>0</v>
      </c>
      <c r="DP1081">
        <v>1</v>
      </c>
      <c r="DQ1081">
        <v>0</v>
      </c>
      <c r="DR1081">
        <v>0</v>
      </c>
      <c r="DS1081">
        <v>0</v>
      </c>
    </row>
    <row r="1082" spans="1:123" x14ac:dyDescent="0.25">
      <c r="A1082" t="str">
        <f>"11/29/2023 20:27:11.868"</f>
        <v>11/29/2023 20:27:11.868</v>
      </c>
      <c r="C1082" t="str">
        <f t="shared" si="123"/>
        <v>FFDF53C0</v>
      </c>
      <c r="D1082" t="s">
        <v>123</v>
      </c>
      <c r="E1082">
        <v>1</v>
      </c>
      <c r="F1082">
        <v>1001</v>
      </c>
      <c r="G1082" t="s">
        <v>134</v>
      </c>
      <c r="J1082" t="s">
        <v>125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>"20:27:11.383"</f>
        <v>20:27:11.383</v>
      </c>
      <c r="T1082" t="str">
        <f>"20:27:10.983"</f>
        <v>20:27:10.983</v>
      </c>
      <c r="U1082" t="str">
        <f t="shared" si="119"/>
        <v>AA0632</v>
      </c>
      <c r="V1082">
        <v>0</v>
      </c>
      <c r="W1082">
        <v>0</v>
      </c>
      <c r="X1082">
        <v>2</v>
      </c>
      <c r="Y1082">
        <v>0</v>
      </c>
      <c r="AA1082">
        <v>0</v>
      </c>
      <c r="AB1082">
        <v>9</v>
      </c>
      <c r="AC1082">
        <v>3</v>
      </c>
      <c r="AD1082">
        <v>0</v>
      </c>
      <c r="AE1082">
        <v>10</v>
      </c>
      <c r="AF1082" t="s">
        <v>126</v>
      </c>
      <c r="AG1082">
        <v>0</v>
      </c>
      <c r="AH1082">
        <v>0</v>
      </c>
      <c r="AI1082">
        <v>2</v>
      </c>
      <c r="AJ1082">
        <v>0</v>
      </c>
      <c r="AK1082" t="s">
        <v>651</v>
      </c>
      <c r="AL1082">
        <v>31.92127</v>
      </c>
      <c r="AM1082" t="s">
        <v>605</v>
      </c>
      <c r="AN1082">
        <v>-100.97154399999999</v>
      </c>
      <c r="AQ1082" t="s">
        <v>129</v>
      </c>
      <c r="AR1082">
        <v>13</v>
      </c>
      <c r="AS1082">
        <v>33</v>
      </c>
      <c r="AT1082">
        <v>-256</v>
      </c>
      <c r="BB1082" t="str">
        <f t="shared" si="120"/>
        <v>1200</v>
      </c>
      <c r="BC1082">
        <v>1</v>
      </c>
      <c r="BD1082" t="str">
        <f t="shared" si="124"/>
        <v xml:space="preserve">N745MB  </v>
      </c>
      <c r="BE1082">
        <v>1</v>
      </c>
      <c r="BG1082">
        <v>0</v>
      </c>
      <c r="BH1082">
        <v>0</v>
      </c>
      <c r="BI1082">
        <v>0</v>
      </c>
      <c r="BL1082" t="s">
        <v>130</v>
      </c>
      <c r="BM1082">
        <v>1</v>
      </c>
      <c r="BN1082">
        <v>0</v>
      </c>
      <c r="BO1082">
        <v>0</v>
      </c>
      <c r="BP1082">
        <v>0</v>
      </c>
      <c r="BT1082">
        <v>0</v>
      </c>
      <c r="BU1082">
        <v>0</v>
      </c>
      <c r="CE1082" t="str">
        <f>"20:27:11.383"</f>
        <v>20:27:11.383</v>
      </c>
      <c r="CF1082">
        <v>383439496</v>
      </c>
      <c r="CS1082">
        <v>0</v>
      </c>
      <c r="CT1082">
        <v>2</v>
      </c>
      <c r="CU1082">
        <v>0</v>
      </c>
      <c r="CV1082">
        <v>2</v>
      </c>
      <c r="CW1082">
        <v>0</v>
      </c>
      <c r="CX1082">
        <v>6</v>
      </c>
      <c r="CY1082">
        <v>7</v>
      </c>
      <c r="CZ1082" t="s">
        <v>131</v>
      </c>
      <c r="DA1082">
        <v>116</v>
      </c>
      <c r="DB1082">
        <v>0</v>
      </c>
      <c r="DC1082" t="s">
        <v>132</v>
      </c>
      <c r="DD1082" t="s">
        <v>133</v>
      </c>
      <c r="DG1082">
        <v>14731917</v>
      </c>
      <c r="DI1082">
        <v>0</v>
      </c>
      <c r="DJ1082">
        <v>0</v>
      </c>
      <c r="DK1082">
        <v>1</v>
      </c>
      <c r="DL1082">
        <v>0</v>
      </c>
      <c r="DM1082">
        <v>0</v>
      </c>
      <c r="DN1082">
        <v>0</v>
      </c>
      <c r="DO1082">
        <v>0</v>
      </c>
      <c r="DP1082">
        <v>1</v>
      </c>
      <c r="DQ1082">
        <v>0</v>
      </c>
      <c r="DR1082">
        <v>0</v>
      </c>
      <c r="DS1082">
        <v>0</v>
      </c>
    </row>
    <row r="1083" spans="1:123" x14ac:dyDescent="0.25">
      <c r="A1083" t="str">
        <f>"11/29/2023 20:27:11.884"</f>
        <v>11/29/2023 20:27:11.884</v>
      </c>
      <c r="C1083" t="str">
        <f t="shared" si="123"/>
        <v>FFDF53C0</v>
      </c>
      <c r="D1083" t="s">
        <v>138</v>
      </c>
      <c r="E1083">
        <v>3</v>
      </c>
      <c r="H1083">
        <v>160</v>
      </c>
      <c r="I1083" t="s">
        <v>124</v>
      </c>
      <c r="J1083" t="s">
        <v>139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>"20:27:11.383"</f>
        <v>20:27:11.383</v>
      </c>
      <c r="T1083" t="str">
        <f>"20:27:10.983"</f>
        <v>20:27:10.983</v>
      </c>
      <c r="U1083" t="str">
        <f t="shared" si="119"/>
        <v>AA0632</v>
      </c>
      <c r="V1083">
        <v>0</v>
      </c>
      <c r="W1083">
        <v>0</v>
      </c>
      <c r="X1083">
        <v>2</v>
      </c>
      <c r="Y1083">
        <v>0</v>
      </c>
      <c r="AA1083">
        <v>0</v>
      </c>
      <c r="AB1083">
        <v>9</v>
      </c>
      <c r="AC1083">
        <v>3</v>
      </c>
      <c r="AD1083">
        <v>0</v>
      </c>
      <c r="AE1083">
        <v>10</v>
      </c>
      <c r="AF1083" t="s">
        <v>126</v>
      </c>
      <c r="AG1083">
        <v>0</v>
      </c>
      <c r="AH1083">
        <v>0</v>
      </c>
      <c r="AI1083">
        <v>2</v>
      </c>
      <c r="AJ1083">
        <v>0</v>
      </c>
      <c r="AK1083" t="s">
        <v>651</v>
      </c>
      <c r="AL1083">
        <v>31.92127</v>
      </c>
      <c r="AM1083" t="s">
        <v>605</v>
      </c>
      <c r="AN1083">
        <v>-100.97154399999999</v>
      </c>
      <c r="AQ1083" t="s">
        <v>129</v>
      </c>
      <c r="AR1083">
        <v>13</v>
      </c>
      <c r="AS1083">
        <v>33</v>
      </c>
      <c r="AT1083">
        <v>-256</v>
      </c>
      <c r="BB1083" t="str">
        <f t="shared" si="120"/>
        <v>1200</v>
      </c>
      <c r="BC1083">
        <v>1</v>
      </c>
      <c r="BD1083" t="str">
        <f t="shared" si="124"/>
        <v xml:space="preserve">N745MB  </v>
      </c>
      <c r="BE1083">
        <v>1</v>
      </c>
      <c r="BG1083">
        <v>0</v>
      </c>
      <c r="BH1083">
        <v>0</v>
      </c>
      <c r="BI1083">
        <v>0</v>
      </c>
      <c r="BL1083" t="s">
        <v>130</v>
      </c>
      <c r="BM1083">
        <v>1</v>
      </c>
      <c r="BN1083">
        <v>0</v>
      </c>
      <c r="BO1083">
        <v>0</v>
      </c>
      <c r="BP1083">
        <v>0</v>
      </c>
      <c r="BT1083">
        <v>0</v>
      </c>
      <c r="BU1083">
        <v>0</v>
      </c>
      <c r="CE1083" t="str">
        <f>"20:27:11.383"</f>
        <v>20:27:11.383</v>
      </c>
      <c r="CF1083">
        <v>383439496</v>
      </c>
      <c r="CS1083">
        <v>0</v>
      </c>
      <c r="CT1083">
        <v>2</v>
      </c>
      <c r="CU1083">
        <v>0</v>
      </c>
      <c r="CV1083">
        <v>2</v>
      </c>
      <c r="CW1083">
        <v>0</v>
      </c>
      <c r="CX1083">
        <v>6</v>
      </c>
      <c r="CY1083">
        <v>7</v>
      </c>
      <c r="CZ1083" t="s">
        <v>131</v>
      </c>
      <c r="DA1083">
        <v>116</v>
      </c>
      <c r="DB1083">
        <v>0</v>
      </c>
      <c r="DC1083" t="s">
        <v>132</v>
      </c>
      <c r="DD1083" t="s">
        <v>133</v>
      </c>
      <c r="DG1083">
        <v>14731917</v>
      </c>
      <c r="DI1083">
        <v>0</v>
      </c>
      <c r="DJ1083">
        <v>0</v>
      </c>
      <c r="DK1083">
        <v>1</v>
      </c>
      <c r="DL1083">
        <v>0</v>
      </c>
      <c r="DM1083">
        <v>0</v>
      </c>
      <c r="DN1083">
        <v>0</v>
      </c>
      <c r="DO1083">
        <v>0</v>
      </c>
      <c r="DP1083">
        <v>1</v>
      </c>
      <c r="DQ1083">
        <v>0</v>
      </c>
      <c r="DR1083">
        <v>0</v>
      </c>
      <c r="DS1083">
        <v>0</v>
      </c>
    </row>
    <row r="1084" spans="1:123" x14ac:dyDescent="0.25">
      <c r="A1084" t="str">
        <f>"11/29/2023 20:27:13.196"</f>
        <v>11/29/2023 20:27:13.196</v>
      </c>
      <c r="C1084" t="str">
        <f t="shared" si="123"/>
        <v>FFDF53C0</v>
      </c>
      <c r="D1084" t="s">
        <v>123</v>
      </c>
      <c r="E1084">
        <v>1</v>
      </c>
      <c r="F1084">
        <v>1001</v>
      </c>
      <c r="G1084" t="s">
        <v>134</v>
      </c>
      <c r="J1084" t="s">
        <v>125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 t="shared" ref="S1084:T1087" si="125">"20:27:12.891"</f>
        <v>20:27:12.891</v>
      </c>
      <c r="T1084" t="str">
        <f t="shared" si="125"/>
        <v>20:27:12.891</v>
      </c>
      <c r="U1084" t="str">
        <f t="shared" si="119"/>
        <v>AA0632</v>
      </c>
      <c r="V1084">
        <v>0</v>
      </c>
      <c r="W1084">
        <v>0</v>
      </c>
      <c r="X1084">
        <v>2</v>
      </c>
      <c r="Y1084">
        <v>0</v>
      </c>
      <c r="AA1084">
        <v>0</v>
      </c>
      <c r="AB1084">
        <v>9</v>
      </c>
      <c r="AC1084">
        <v>3</v>
      </c>
      <c r="AD1084">
        <v>0</v>
      </c>
      <c r="AE1084">
        <v>10</v>
      </c>
      <c r="AF1084" t="s">
        <v>126</v>
      </c>
      <c r="AG1084">
        <v>0</v>
      </c>
      <c r="AH1084">
        <v>0</v>
      </c>
      <c r="AI1084">
        <v>2</v>
      </c>
      <c r="AJ1084">
        <v>0</v>
      </c>
      <c r="AK1084" t="s">
        <v>652</v>
      </c>
      <c r="AL1084">
        <v>31.921484</v>
      </c>
      <c r="AM1084" t="s">
        <v>653</v>
      </c>
      <c r="AN1084">
        <v>-100.97141499999999</v>
      </c>
      <c r="AQ1084" t="s">
        <v>129</v>
      </c>
      <c r="AR1084">
        <v>18</v>
      </c>
      <c r="AS1084">
        <v>28</v>
      </c>
      <c r="AT1084">
        <v>-256</v>
      </c>
      <c r="BB1084" t="str">
        <f t="shared" si="120"/>
        <v>1200</v>
      </c>
      <c r="BC1084">
        <v>1</v>
      </c>
      <c r="BD1084" t="str">
        <f t="shared" si="124"/>
        <v xml:space="preserve">N745MB  </v>
      </c>
      <c r="BE1084">
        <v>1</v>
      </c>
      <c r="BG1084">
        <v>0</v>
      </c>
      <c r="BH1084">
        <v>0</v>
      </c>
      <c r="BI1084">
        <v>0</v>
      </c>
      <c r="BL1084" t="s">
        <v>130</v>
      </c>
      <c r="BM1084">
        <v>1</v>
      </c>
      <c r="BN1084">
        <v>0</v>
      </c>
      <c r="BO1084">
        <v>0</v>
      </c>
      <c r="BP1084">
        <v>0</v>
      </c>
      <c r="BT1084">
        <v>0</v>
      </c>
      <c r="BU1084">
        <v>0</v>
      </c>
      <c r="CE1084" t="str">
        <f>"20:27:12.897"</f>
        <v>20:27:12.897</v>
      </c>
      <c r="CF1084">
        <v>897338503</v>
      </c>
      <c r="CS1084">
        <v>0</v>
      </c>
      <c r="CT1084">
        <v>2</v>
      </c>
      <c r="CU1084">
        <v>0</v>
      </c>
      <c r="CV1084">
        <v>2</v>
      </c>
      <c r="CW1084">
        <v>0</v>
      </c>
      <c r="CX1084">
        <v>6</v>
      </c>
      <c r="CY1084">
        <v>7</v>
      </c>
      <c r="CZ1084" t="s">
        <v>131</v>
      </c>
      <c r="DA1084">
        <v>116</v>
      </c>
      <c r="DB1084">
        <v>0</v>
      </c>
      <c r="DC1084" t="s">
        <v>132</v>
      </c>
      <c r="DD1084" t="s">
        <v>133</v>
      </c>
      <c r="DG1084">
        <v>14733092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1</v>
      </c>
      <c r="DQ1084">
        <v>0</v>
      </c>
      <c r="DR1084">
        <v>0</v>
      </c>
      <c r="DS1084">
        <v>0</v>
      </c>
    </row>
    <row r="1085" spans="1:123" x14ac:dyDescent="0.25">
      <c r="A1085" t="str">
        <f>"11/29/2023 20:27:13.196"</f>
        <v>11/29/2023 20:27:13.196</v>
      </c>
      <c r="C1085" t="str">
        <f t="shared" si="123"/>
        <v>FFDF53C0</v>
      </c>
      <c r="D1085" t="s">
        <v>138</v>
      </c>
      <c r="E1085">
        <v>3</v>
      </c>
      <c r="H1085">
        <v>160</v>
      </c>
      <c r="I1085" t="s">
        <v>124</v>
      </c>
      <c r="J1085" t="s">
        <v>139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 t="shared" si="125"/>
        <v>20:27:12.891</v>
      </c>
      <c r="T1085" t="str">
        <f t="shared" si="125"/>
        <v>20:27:12.891</v>
      </c>
      <c r="U1085" t="str">
        <f t="shared" si="119"/>
        <v>AA0632</v>
      </c>
      <c r="V1085">
        <v>0</v>
      </c>
      <c r="W1085">
        <v>0</v>
      </c>
      <c r="X1085">
        <v>2</v>
      </c>
      <c r="Y1085">
        <v>0</v>
      </c>
      <c r="AA1085">
        <v>0</v>
      </c>
      <c r="AB1085">
        <v>9</v>
      </c>
      <c r="AC1085">
        <v>3</v>
      </c>
      <c r="AD1085">
        <v>0</v>
      </c>
      <c r="AE1085">
        <v>10</v>
      </c>
      <c r="AF1085" t="s">
        <v>126</v>
      </c>
      <c r="AG1085">
        <v>0</v>
      </c>
      <c r="AH1085">
        <v>0</v>
      </c>
      <c r="AI1085">
        <v>2</v>
      </c>
      <c r="AJ1085">
        <v>0</v>
      </c>
      <c r="AK1085" t="s">
        <v>652</v>
      </c>
      <c r="AL1085">
        <v>31.921484</v>
      </c>
      <c r="AM1085" t="s">
        <v>653</v>
      </c>
      <c r="AN1085">
        <v>-100.97141499999999</v>
      </c>
      <c r="AQ1085" t="s">
        <v>129</v>
      </c>
      <c r="AR1085">
        <v>18</v>
      </c>
      <c r="AS1085">
        <v>28</v>
      </c>
      <c r="AT1085">
        <v>-256</v>
      </c>
      <c r="BB1085" t="str">
        <f t="shared" si="120"/>
        <v>1200</v>
      </c>
      <c r="BC1085">
        <v>1</v>
      </c>
      <c r="BD1085" t="str">
        <f t="shared" si="124"/>
        <v xml:space="preserve">N745MB  </v>
      </c>
      <c r="BE1085">
        <v>1</v>
      </c>
      <c r="BG1085">
        <v>0</v>
      </c>
      <c r="BH1085">
        <v>0</v>
      </c>
      <c r="BI1085">
        <v>0</v>
      </c>
      <c r="BL1085" t="s">
        <v>130</v>
      </c>
      <c r="BM1085">
        <v>1</v>
      </c>
      <c r="BN1085">
        <v>0</v>
      </c>
      <c r="BO1085">
        <v>0</v>
      </c>
      <c r="BP1085">
        <v>0</v>
      </c>
      <c r="BT1085">
        <v>0</v>
      </c>
      <c r="BU1085">
        <v>0</v>
      </c>
      <c r="CE1085" t="str">
        <f>"20:27:12.897"</f>
        <v>20:27:12.897</v>
      </c>
      <c r="CF1085">
        <v>897338503</v>
      </c>
      <c r="CS1085">
        <v>0</v>
      </c>
      <c r="CT1085">
        <v>2</v>
      </c>
      <c r="CU1085">
        <v>0</v>
      </c>
      <c r="CV1085">
        <v>2</v>
      </c>
      <c r="CW1085">
        <v>0</v>
      </c>
      <c r="CX1085">
        <v>6</v>
      </c>
      <c r="CY1085">
        <v>7</v>
      </c>
      <c r="CZ1085" t="s">
        <v>131</v>
      </c>
      <c r="DA1085">
        <v>116</v>
      </c>
      <c r="DB1085">
        <v>0</v>
      </c>
      <c r="DC1085" t="s">
        <v>132</v>
      </c>
      <c r="DD1085" t="s">
        <v>133</v>
      </c>
      <c r="DG1085">
        <v>14733092</v>
      </c>
      <c r="DI1085">
        <v>0</v>
      </c>
      <c r="DJ1085">
        <v>0</v>
      </c>
      <c r="DK1085">
        <v>1</v>
      </c>
      <c r="DL1085">
        <v>0</v>
      </c>
      <c r="DM1085">
        <v>0</v>
      </c>
      <c r="DN1085">
        <v>0</v>
      </c>
      <c r="DO1085">
        <v>0</v>
      </c>
      <c r="DP1085">
        <v>1</v>
      </c>
      <c r="DQ1085">
        <v>0</v>
      </c>
      <c r="DR1085">
        <v>0</v>
      </c>
      <c r="DS1085">
        <v>0</v>
      </c>
    </row>
    <row r="1086" spans="1:123" x14ac:dyDescent="0.25">
      <c r="A1086" t="str">
        <f>"11/29/2023 20:27:13.274"</f>
        <v>11/29/2023 20:27:13.274</v>
      </c>
      <c r="C1086" t="str">
        <f t="shared" si="123"/>
        <v>FFDF53C0</v>
      </c>
      <c r="D1086" t="s">
        <v>123</v>
      </c>
      <c r="E1086">
        <v>14</v>
      </c>
      <c r="F1086">
        <v>1014</v>
      </c>
      <c r="G1086" t="s">
        <v>124</v>
      </c>
      <c r="J1086" t="s">
        <v>125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 t="shared" si="125"/>
        <v>20:27:12.891</v>
      </c>
      <c r="T1086" t="str">
        <f t="shared" si="125"/>
        <v>20:27:12.891</v>
      </c>
      <c r="U1086" t="str">
        <f t="shared" si="119"/>
        <v>AA0632</v>
      </c>
      <c r="V1086">
        <v>0</v>
      </c>
      <c r="W1086">
        <v>0</v>
      </c>
      <c r="X1086">
        <v>2</v>
      </c>
      <c r="Y1086">
        <v>0</v>
      </c>
      <c r="AA1086">
        <v>0</v>
      </c>
      <c r="AB1086">
        <v>9</v>
      </c>
      <c r="AC1086">
        <v>3</v>
      </c>
      <c r="AD1086">
        <v>0</v>
      </c>
      <c r="AE1086">
        <v>10</v>
      </c>
      <c r="AF1086" t="s">
        <v>126</v>
      </c>
      <c r="AG1086">
        <v>0</v>
      </c>
      <c r="AH1086">
        <v>0</v>
      </c>
      <c r="AI1086">
        <v>2</v>
      </c>
      <c r="AJ1086">
        <v>0</v>
      </c>
      <c r="AK1086" t="s">
        <v>652</v>
      </c>
      <c r="AL1086">
        <v>31.921484</v>
      </c>
      <c r="AM1086" t="s">
        <v>653</v>
      </c>
      <c r="AN1086">
        <v>-100.97141499999999</v>
      </c>
      <c r="AQ1086" t="s">
        <v>129</v>
      </c>
      <c r="AR1086">
        <v>18</v>
      </c>
      <c r="AS1086">
        <v>28</v>
      </c>
      <c r="AT1086">
        <v>-256</v>
      </c>
      <c r="BB1086" t="str">
        <f t="shared" si="120"/>
        <v>1200</v>
      </c>
      <c r="BC1086">
        <v>1</v>
      </c>
      <c r="BD1086" t="str">
        <f t="shared" si="124"/>
        <v xml:space="preserve">N745MB  </v>
      </c>
      <c r="BE1086">
        <v>1</v>
      </c>
      <c r="BG1086">
        <v>0</v>
      </c>
      <c r="BH1086">
        <v>0</v>
      </c>
      <c r="BI1086">
        <v>0</v>
      </c>
      <c r="BL1086" t="s">
        <v>130</v>
      </c>
      <c r="BM1086">
        <v>1</v>
      </c>
      <c r="BN1086">
        <v>0</v>
      </c>
      <c r="BO1086">
        <v>0</v>
      </c>
      <c r="BP1086">
        <v>0</v>
      </c>
      <c r="BT1086">
        <v>0</v>
      </c>
      <c r="BU1086">
        <v>0</v>
      </c>
      <c r="CE1086" t="str">
        <f>"20:27:12.897"</f>
        <v>20:27:12.897</v>
      </c>
      <c r="CF1086">
        <v>897338503</v>
      </c>
      <c r="CS1086">
        <v>0</v>
      </c>
      <c r="CT1086">
        <v>2</v>
      </c>
      <c r="CU1086">
        <v>0</v>
      </c>
      <c r="CV1086">
        <v>2</v>
      </c>
      <c r="CW1086">
        <v>0</v>
      </c>
      <c r="CX1086">
        <v>6</v>
      </c>
      <c r="CY1086">
        <v>7</v>
      </c>
      <c r="CZ1086" t="s">
        <v>131</v>
      </c>
      <c r="DA1086">
        <v>116</v>
      </c>
      <c r="DB1086">
        <v>0</v>
      </c>
      <c r="DC1086" t="s">
        <v>132</v>
      </c>
      <c r="DD1086" t="s">
        <v>133</v>
      </c>
      <c r="DG1086">
        <v>14733092</v>
      </c>
      <c r="DI1086">
        <v>0</v>
      </c>
      <c r="DJ1086">
        <v>0</v>
      </c>
      <c r="DK1086">
        <v>1</v>
      </c>
      <c r="DL1086">
        <v>0</v>
      </c>
      <c r="DM1086">
        <v>0</v>
      </c>
      <c r="DN1086">
        <v>0</v>
      </c>
      <c r="DO1086">
        <v>0</v>
      </c>
      <c r="DP1086">
        <v>1</v>
      </c>
      <c r="DQ1086">
        <v>0</v>
      </c>
      <c r="DR1086">
        <v>0</v>
      </c>
      <c r="DS1086">
        <v>0</v>
      </c>
    </row>
    <row r="1087" spans="1:123" x14ac:dyDescent="0.25">
      <c r="A1087" t="str">
        <f>"11/29/2023 20:27:13.274"</f>
        <v>11/29/2023 20:27:13.274</v>
      </c>
      <c r="C1087" t="str">
        <f t="shared" si="123"/>
        <v>FFDF53C0</v>
      </c>
      <c r="D1087" t="s">
        <v>135</v>
      </c>
      <c r="E1087">
        <v>31</v>
      </c>
      <c r="H1087">
        <v>285</v>
      </c>
      <c r="I1087" t="s">
        <v>136</v>
      </c>
      <c r="J1087" t="s">
        <v>137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 t="shared" si="125"/>
        <v>20:27:12.891</v>
      </c>
      <c r="T1087" t="str">
        <f t="shared" si="125"/>
        <v>20:27:12.891</v>
      </c>
      <c r="U1087" t="str">
        <f t="shared" si="119"/>
        <v>AA0632</v>
      </c>
      <c r="V1087">
        <v>0</v>
      </c>
      <c r="W1087">
        <v>0</v>
      </c>
      <c r="X1087">
        <v>2</v>
      </c>
      <c r="Y1087">
        <v>0</v>
      </c>
      <c r="AA1087">
        <v>0</v>
      </c>
      <c r="AB1087">
        <v>9</v>
      </c>
      <c r="AC1087">
        <v>3</v>
      </c>
      <c r="AD1087">
        <v>0</v>
      </c>
      <c r="AE1087">
        <v>10</v>
      </c>
      <c r="AF1087" t="s">
        <v>126</v>
      </c>
      <c r="AG1087">
        <v>0</v>
      </c>
      <c r="AH1087">
        <v>0</v>
      </c>
      <c r="AI1087">
        <v>2</v>
      </c>
      <c r="AJ1087">
        <v>0</v>
      </c>
      <c r="AK1087" t="s">
        <v>652</v>
      </c>
      <c r="AL1087">
        <v>31.921484</v>
      </c>
      <c r="AM1087" t="s">
        <v>653</v>
      </c>
      <c r="AN1087">
        <v>-100.97141499999999</v>
      </c>
      <c r="AQ1087" t="s">
        <v>129</v>
      </c>
      <c r="AR1087">
        <v>18</v>
      </c>
      <c r="AS1087">
        <v>28</v>
      </c>
      <c r="AT1087">
        <v>-256</v>
      </c>
      <c r="BB1087" t="str">
        <f t="shared" si="120"/>
        <v>1200</v>
      </c>
      <c r="BC1087">
        <v>1</v>
      </c>
      <c r="BD1087" t="str">
        <f t="shared" si="124"/>
        <v xml:space="preserve">N745MB  </v>
      </c>
      <c r="BE1087">
        <v>1</v>
      </c>
      <c r="BG1087">
        <v>0</v>
      </c>
      <c r="BH1087">
        <v>0</v>
      </c>
      <c r="BI1087">
        <v>0</v>
      </c>
      <c r="BL1087" t="s">
        <v>130</v>
      </c>
      <c r="BM1087">
        <v>1</v>
      </c>
      <c r="BN1087">
        <v>0</v>
      </c>
      <c r="BO1087">
        <v>0</v>
      </c>
      <c r="BP1087">
        <v>0</v>
      </c>
      <c r="BT1087">
        <v>0</v>
      </c>
      <c r="BU1087">
        <v>0</v>
      </c>
      <c r="CE1087" t="str">
        <f>"20:27:12.897"</f>
        <v>20:27:12.897</v>
      </c>
      <c r="CF1087">
        <v>897338503</v>
      </c>
      <c r="CS1087">
        <v>0</v>
      </c>
      <c r="CT1087">
        <v>2</v>
      </c>
      <c r="CU1087">
        <v>0</v>
      </c>
      <c r="CV1087">
        <v>2</v>
      </c>
      <c r="CW1087">
        <v>0</v>
      </c>
      <c r="CX1087">
        <v>6</v>
      </c>
      <c r="CY1087">
        <v>7</v>
      </c>
      <c r="CZ1087" t="s">
        <v>131</v>
      </c>
      <c r="DA1087">
        <v>116</v>
      </c>
      <c r="DB1087">
        <v>0</v>
      </c>
      <c r="DC1087" t="s">
        <v>132</v>
      </c>
      <c r="DD1087" t="s">
        <v>133</v>
      </c>
      <c r="DG1087">
        <v>14733092</v>
      </c>
      <c r="DI1087">
        <v>0</v>
      </c>
      <c r="DJ1087">
        <v>0</v>
      </c>
      <c r="DK1087">
        <v>1</v>
      </c>
      <c r="DL1087">
        <v>0</v>
      </c>
      <c r="DM1087">
        <v>0</v>
      </c>
      <c r="DN1087">
        <v>0</v>
      </c>
      <c r="DO1087">
        <v>0</v>
      </c>
      <c r="DP1087">
        <v>1</v>
      </c>
      <c r="DQ1087">
        <v>0</v>
      </c>
      <c r="DR1087">
        <v>0</v>
      </c>
      <c r="DS1087">
        <v>0</v>
      </c>
    </row>
    <row r="1088" spans="1:123" x14ac:dyDescent="0.25">
      <c r="A1088" t="str">
        <f>"11/29/2023 20:27:14.259"</f>
        <v>11/29/2023 20:27:14.259</v>
      </c>
      <c r="C1088" t="str">
        <f t="shared" si="123"/>
        <v>FFDF53C0</v>
      </c>
      <c r="D1088" t="s">
        <v>138</v>
      </c>
      <c r="E1088">
        <v>3</v>
      </c>
      <c r="H1088">
        <v>160</v>
      </c>
      <c r="I1088" t="s">
        <v>124</v>
      </c>
      <c r="J1088" t="s">
        <v>139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>"20:27:13.930"</f>
        <v>20:27:13.930</v>
      </c>
      <c r="U1088" t="str">
        <f t="shared" si="119"/>
        <v>AA0632</v>
      </c>
      <c r="V1088">
        <v>0</v>
      </c>
      <c r="W1088">
        <v>0</v>
      </c>
      <c r="X1088">
        <v>2</v>
      </c>
      <c r="Y1088">
        <v>0</v>
      </c>
      <c r="AA1088">
        <v>0</v>
      </c>
      <c r="AB1088">
        <v>9</v>
      </c>
      <c r="AC1088">
        <v>3</v>
      </c>
      <c r="AD1088">
        <v>0</v>
      </c>
      <c r="AE1088">
        <v>10</v>
      </c>
      <c r="AF1088" t="s">
        <v>126</v>
      </c>
      <c r="AG1088">
        <v>0</v>
      </c>
      <c r="AH1088">
        <v>0</v>
      </c>
      <c r="AI1088">
        <v>2</v>
      </c>
      <c r="AJ1088">
        <v>0</v>
      </c>
      <c r="AK1088" t="s">
        <v>654</v>
      </c>
      <c r="AL1088">
        <v>31.921613000000001</v>
      </c>
      <c r="AM1088" t="s">
        <v>655</v>
      </c>
      <c r="AN1088">
        <v>-100.97130799999999</v>
      </c>
      <c r="AQ1088" t="s">
        <v>129</v>
      </c>
      <c r="AT1088">
        <v>-192</v>
      </c>
      <c r="BB1088" t="str">
        <f t="shared" si="120"/>
        <v>1200</v>
      </c>
      <c r="BC1088">
        <v>1</v>
      </c>
      <c r="BD1088" t="str">
        <f t="shared" si="124"/>
        <v xml:space="preserve">N745MB  </v>
      </c>
      <c r="BE1088">
        <v>1</v>
      </c>
      <c r="BG1088">
        <v>0</v>
      </c>
      <c r="BH1088">
        <v>0</v>
      </c>
      <c r="BI1088">
        <v>0</v>
      </c>
      <c r="BL1088" t="s">
        <v>130</v>
      </c>
      <c r="BM1088">
        <v>1</v>
      </c>
      <c r="BN1088">
        <v>0</v>
      </c>
      <c r="BO1088">
        <v>0</v>
      </c>
      <c r="BP1088">
        <v>0</v>
      </c>
      <c r="BT1088">
        <v>0</v>
      </c>
      <c r="BU1088">
        <v>0</v>
      </c>
      <c r="CE1088" t="str">
        <f>"20:27:13.935"</f>
        <v>20:27:13.935</v>
      </c>
      <c r="CF1088">
        <v>935273569</v>
      </c>
      <c r="CS1088">
        <v>0</v>
      </c>
      <c r="CT1088">
        <v>2</v>
      </c>
      <c r="CU1088">
        <v>0</v>
      </c>
      <c r="CV1088">
        <v>2</v>
      </c>
      <c r="CW1088">
        <v>0</v>
      </c>
      <c r="CX1088">
        <v>2</v>
      </c>
      <c r="CY1088">
        <v>7</v>
      </c>
      <c r="CZ1088" t="s">
        <v>131</v>
      </c>
      <c r="DA1088">
        <v>483</v>
      </c>
      <c r="DB1088">
        <v>0</v>
      </c>
      <c r="DC1088" t="s">
        <v>169</v>
      </c>
      <c r="DD1088" t="s">
        <v>170</v>
      </c>
      <c r="DG1088">
        <v>7387194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1</v>
      </c>
      <c r="DQ1088">
        <v>0</v>
      </c>
      <c r="DR1088">
        <v>0</v>
      </c>
      <c r="DS1088">
        <v>0</v>
      </c>
    </row>
    <row r="1089" spans="1:123" x14ac:dyDescent="0.25">
      <c r="A1089" t="str">
        <f>"11/29/2023 20:27:14.259"</f>
        <v>11/29/2023 20:27:14.259</v>
      </c>
      <c r="C1089" t="str">
        <f t="shared" si="123"/>
        <v>FFDF53C0</v>
      </c>
      <c r="D1089" t="s">
        <v>164</v>
      </c>
      <c r="E1089">
        <v>24</v>
      </c>
      <c r="F1089">
        <v>2024</v>
      </c>
      <c r="G1089" t="s">
        <v>165</v>
      </c>
      <c r="J1089" t="s">
        <v>166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>"20:27:13.930"</f>
        <v>20:27:13.930</v>
      </c>
      <c r="U1089" t="str">
        <f t="shared" si="119"/>
        <v>AA0632</v>
      </c>
      <c r="V1089">
        <v>0</v>
      </c>
      <c r="W1089">
        <v>0</v>
      </c>
      <c r="X1089">
        <v>2</v>
      </c>
      <c r="Y1089">
        <v>0</v>
      </c>
      <c r="AA1089">
        <v>0</v>
      </c>
      <c r="AB1089">
        <v>9</v>
      </c>
      <c r="AC1089">
        <v>3</v>
      </c>
      <c r="AD1089">
        <v>0</v>
      </c>
      <c r="AE1089">
        <v>10</v>
      </c>
      <c r="AF1089" t="s">
        <v>126</v>
      </c>
      <c r="AG1089">
        <v>0</v>
      </c>
      <c r="AH1089">
        <v>0</v>
      </c>
      <c r="AI1089">
        <v>2</v>
      </c>
      <c r="AJ1089">
        <v>0</v>
      </c>
      <c r="AK1089" t="s">
        <v>654</v>
      </c>
      <c r="AL1089">
        <v>31.921613000000001</v>
      </c>
      <c r="AM1089" t="s">
        <v>655</v>
      </c>
      <c r="AN1089">
        <v>-100.97130799999999</v>
      </c>
      <c r="AQ1089" t="s">
        <v>129</v>
      </c>
      <c r="AT1089">
        <v>-192</v>
      </c>
      <c r="BB1089" t="str">
        <f t="shared" si="120"/>
        <v>1200</v>
      </c>
      <c r="BC1089">
        <v>1</v>
      </c>
      <c r="BD1089" t="str">
        <f t="shared" si="124"/>
        <v xml:space="preserve">N745MB  </v>
      </c>
      <c r="BE1089">
        <v>1</v>
      </c>
      <c r="BG1089">
        <v>0</v>
      </c>
      <c r="BH1089">
        <v>0</v>
      </c>
      <c r="BI1089">
        <v>0</v>
      </c>
      <c r="BL1089" t="s">
        <v>130</v>
      </c>
      <c r="BM1089">
        <v>1</v>
      </c>
      <c r="BN1089">
        <v>0</v>
      </c>
      <c r="BO1089">
        <v>0</v>
      </c>
      <c r="BP1089">
        <v>0</v>
      </c>
      <c r="BT1089">
        <v>0</v>
      </c>
      <c r="BU1089">
        <v>0</v>
      </c>
      <c r="CE1089" t="str">
        <f>"20:27:13.935"</f>
        <v>20:27:13.935</v>
      </c>
      <c r="CF1089">
        <v>935273569</v>
      </c>
      <c r="CS1089">
        <v>0</v>
      </c>
      <c r="CT1089">
        <v>2</v>
      </c>
      <c r="CU1089">
        <v>0</v>
      </c>
      <c r="CV1089">
        <v>2</v>
      </c>
      <c r="CW1089">
        <v>0</v>
      </c>
      <c r="CX1089">
        <v>2</v>
      </c>
      <c r="CY1089">
        <v>7</v>
      </c>
      <c r="CZ1089" t="s">
        <v>131</v>
      </c>
      <c r="DA1089">
        <v>483</v>
      </c>
      <c r="DB1089">
        <v>0</v>
      </c>
      <c r="DC1089" t="s">
        <v>169</v>
      </c>
      <c r="DD1089" t="s">
        <v>170</v>
      </c>
      <c r="DG1089">
        <v>7387194</v>
      </c>
      <c r="DI1089">
        <v>0</v>
      </c>
      <c r="DJ1089">
        <v>0</v>
      </c>
      <c r="DK1089">
        <v>1</v>
      </c>
      <c r="DL1089">
        <v>0</v>
      </c>
      <c r="DM1089">
        <v>0</v>
      </c>
      <c r="DN1089">
        <v>0</v>
      </c>
      <c r="DO1089">
        <v>0</v>
      </c>
      <c r="DP1089">
        <v>1</v>
      </c>
      <c r="DQ1089">
        <v>0</v>
      </c>
      <c r="DR1089">
        <v>0</v>
      </c>
      <c r="DS1089">
        <v>0</v>
      </c>
    </row>
    <row r="1090" spans="1:123" x14ac:dyDescent="0.25">
      <c r="A1090" t="str">
        <f>"11/29/2023 20:27:14.259"</f>
        <v>11/29/2023 20:27:14.259</v>
      </c>
      <c r="C1090" t="str">
        <f t="shared" si="123"/>
        <v>FFDF53C0</v>
      </c>
      <c r="D1090" t="s">
        <v>123</v>
      </c>
      <c r="E1090">
        <v>14</v>
      </c>
      <c r="F1090">
        <v>1014</v>
      </c>
      <c r="G1090" t="s">
        <v>124</v>
      </c>
      <c r="J1090" t="s">
        <v>125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>"20:27:13.930"</f>
        <v>20:27:13.930</v>
      </c>
      <c r="U1090" t="str">
        <f t="shared" ref="U1090:U1153" si="126">"AA0632"</f>
        <v>AA0632</v>
      </c>
      <c r="V1090">
        <v>0</v>
      </c>
      <c r="W1090">
        <v>0</v>
      </c>
      <c r="X1090">
        <v>2</v>
      </c>
      <c r="Y1090">
        <v>0</v>
      </c>
      <c r="AA1090">
        <v>0</v>
      </c>
      <c r="AB1090">
        <v>9</v>
      </c>
      <c r="AC1090">
        <v>3</v>
      </c>
      <c r="AD1090">
        <v>0</v>
      </c>
      <c r="AE1090">
        <v>10</v>
      </c>
      <c r="AF1090" t="s">
        <v>126</v>
      </c>
      <c r="AG1090">
        <v>0</v>
      </c>
      <c r="AH1090">
        <v>0</v>
      </c>
      <c r="AI1090">
        <v>2</v>
      </c>
      <c r="AJ1090">
        <v>0</v>
      </c>
      <c r="AK1090" t="s">
        <v>654</v>
      </c>
      <c r="AL1090">
        <v>31.921613000000001</v>
      </c>
      <c r="AM1090" t="s">
        <v>655</v>
      </c>
      <c r="AN1090">
        <v>-100.97130799999999</v>
      </c>
      <c r="AQ1090" t="s">
        <v>129</v>
      </c>
      <c r="AT1090">
        <v>-192</v>
      </c>
      <c r="BB1090" t="str">
        <f t="shared" ref="BB1090:BB1153" si="127">"1200"</f>
        <v>1200</v>
      </c>
      <c r="BC1090">
        <v>1</v>
      </c>
      <c r="BD1090" t="str">
        <f t="shared" si="124"/>
        <v xml:space="preserve">N745MB  </v>
      </c>
      <c r="BE1090">
        <v>1</v>
      </c>
      <c r="BG1090">
        <v>0</v>
      </c>
      <c r="BH1090">
        <v>0</v>
      </c>
      <c r="BI1090">
        <v>0</v>
      </c>
      <c r="BL1090" t="s">
        <v>130</v>
      </c>
      <c r="BM1090">
        <v>1</v>
      </c>
      <c r="BN1090">
        <v>0</v>
      </c>
      <c r="BO1090">
        <v>0</v>
      </c>
      <c r="BP1090">
        <v>0</v>
      </c>
      <c r="BT1090">
        <v>0</v>
      </c>
      <c r="BU1090">
        <v>0</v>
      </c>
      <c r="CE1090" t="str">
        <f>"20:27:13.935"</f>
        <v>20:27:13.935</v>
      </c>
      <c r="CF1090">
        <v>935273569</v>
      </c>
      <c r="CS1090">
        <v>0</v>
      </c>
      <c r="CT1090">
        <v>2</v>
      </c>
      <c r="CU1090">
        <v>0</v>
      </c>
      <c r="CV1090">
        <v>2</v>
      </c>
      <c r="CW1090">
        <v>0</v>
      </c>
      <c r="CX1090">
        <v>2</v>
      </c>
      <c r="CY1090">
        <v>7</v>
      </c>
      <c r="CZ1090" t="s">
        <v>131</v>
      </c>
      <c r="DA1090">
        <v>483</v>
      </c>
      <c r="DB1090">
        <v>0</v>
      </c>
      <c r="DC1090" t="s">
        <v>169</v>
      </c>
      <c r="DD1090" t="s">
        <v>170</v>
      </c>
      <c r="DG1090">
        <v>7387194</v>
      </c>
      <c r="DI1090">
        <v>0</v>
      </c>
      <c r="DJ1090">
        <v>0</v>
      </c>
      <c r="DK1090">
        <v>1</v>
      </c>
      <c r="DL1090">
        <v>0</v>
      </c>
      <c r="DM1090">
        <v>0</v>
      </c>
      <c r="DN1090">
        <v>0</v>
      </c>
      <c r="DO1090">
        <v>0</v>
      </c>
      <c r="DP1090">
        <v>1</v>
      </c>
      <c r="DQ1090">
        <v>0</v>
      </c>
      <c r="DR1090">
        <v>0</v>
      </c>
      <c r="DS1090">
        <v>0</v>
      </c>
    </row>
    <row r="1091" spans="1:123" x14ac:dyDescent="0.25">
      <c r="A1091" t="str">
        <f>"11/29/2023 20:27:16.337"</f>
        <v>11/29/2023 20:27:16.337</v>
      </c>
      <c r="C1091" t="str">
        <f t="shared" si="123"/>
        <v>FFDF53C0</v>
      </c>
      <c r="D1091" t="s">
        <v>138</v>
      </c>
      <c r="E1091">
        <v>3</v>
      </c>
      <c r="H1091">
        <v>160</v>
      </c>
      <c r="I1091" t="s">
        <v>124</v>
      </c>
      <c r="J1091" t="s">
        <v>139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>"20:27:15.922"</f>
        <v>20:27:15.922</v>
      </c>
      <c r="T1091" t="str">
        <f>"20:27:15.722"</f>
        <v>20:27:15.722</v>
      </c>
      <c r="U1091" t="str">
        <f t="shared" si="126"/>
        <v>AA0632</v>
      </c>
      <c r="V1091">
        <v>0</v>
      </c>
      <c r="W1091">
        <v>0</v>
      </c>
      <c r="X1091">
        <v>2</v>
      </c>
      <c r="Y1091">
        <v>0</v>
      </c>
      <c r="AA1091">
        <v>0</v>
      </c>
      <c r="AB1091">
        <v>9</v>
      </c>
      <c r="AC1091">
        <v>3</v>
      </c>
      <c r="AD1091">
        <v>0</v>
      </c>
      <c r="AE1091">
        <v>10</v>
      </c>
      <c r="AF1091" t="s">
        <v>126</v>
      </c>
      <c r="AG1091">
        <v>0</v>
      </c>
      <c r="AH1091">
        <v>0</v>
      </c>
      <c r="AI1091">
        <v>2</v>
      </c>
      <c r="AJ1091">
        <v>0</v>
      </c>
      <c r="AK1091" t="s">
        <v>656</v>
      </c>
      <c r="AL1091">
        <v>31.921806</v>
      </c>
      <c r="AM1091" t="s">
        <v>657</v>
      </c>
      <c r="AN1091">
        <v>-100.97107200000001</v>
      </c>
      <c r="AQ1091" t="s">
        <v>129</v>
      </c>
      <c r="AR1091">
        <v>23</v>
      </c>
      <c r="AS1091">
        <v>22</v>
      </c>
      <c r="AT1091">
        <v>-320</v>
      </c>
      <c r="BB1091" t="str">
        <f t="shared" si="127"/>
        <v>1200</v>
      </c>
      <c r="BC1091">
        <v>1</v>
      </c>
      <c r="BD1091" t="str">
        <f t="shared" si="124"/>
        <v xml:space="preserve">N745MB  </v>
      </c>
      <c r="BE1091">
        <v>1</v>
      </c>
      <c r="BG1091">
        <v>0</v>
      </c>
      <c r="BH1091">
        <v>0</v>
      </c>
      <c r="BI1091">
        <v>0</v>
      </c>
      <c r="BL1091" t="s">
        <v>130</v>
      </c>
      <c r="BM1091">
        <v>1</v>
      </c>
      <c r="BN1091">
        <v>0</v>
      </c>
      <c r="BO1091">
        <v>0</v>
      </c>
      <c r="BP1091">
        <v>0</v>
      </c>
      <c r="BT1091">
        <v>0</v>
      </c>
      <c r="BU1091">
        <v>0</v>
      </c>
      <c r="CE1091" t="str">
        <f>"20:27:15.927"</f>
        <v>20:27:15.927</v>
      </c>
      <c r="CF1091">
        <v>927136469</v>
      </c>
      <c r="CS1091">
        <v>0</v>
      </c>
      <c r="CT1091">
        <v>2</v>
      </c>
      <c r="CU1091">
        <v>0</v>
      </c>
      <c r="CV1091">
        <v>2</v>
      </c>
      <c r="CW1091">
        <v>0</v>
      </c>
      <c r="CX1091">
        <v>5</v>
      </c>
      <c r="CY1091">
        <v>7</v>
      </c>
      <c r="CZ1091" t="s">
        <v>131</v>
      </c>
      <c r="DA1091">
        <v>116</v>
      </c>
      <c r="DB1091">
        <v>0</v>
      </c>
      <c r="DC1091" t="s">
        <v>132</v>
      </c>
      <c r="DD1091" t="s">
        <v>133</v>
      </c>
      <c r="DG1091">
        <v>14735565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1</v>
      </c>
      <c r="DQ1091">
        <v>0</v>
      </c>
      <c r="DR1091">
        <v>0</v>
      </c>
      <c r="DS1091">
        <v>0</v>
      </c>
    </row>
    <row r="1092" spans="1:123" x14ac:dyDescent="0.25">
      <c r="A1092" t="str">
        <f>"11/29/2023 20:27:16.399"</f>
        <v>11/29/2023 20:27:16.399</v>
      </c>
      <c r="C1092" t="str">
        <f t="shared" si="123"/>
        <v>FFDF53C0</v>
      </c>
      <c r="D1092" t="s">
        <v>123</v>
      </c>
      <c r="E1092">
        <v>14</v>
      </c>
      <c r="F1092">
        <v>1014</v>
      </c>
      <c r="G1092" t="s">
        <v>124</v>
      </c>
      <c r="J1092" t="s">
        <v>125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>"20:27:15.922"</f>
        <v>20:27:15.922</v>
      </c>
      <c r="T1092" t="str">
        <f>"20:27:15.722"</f>
        <v>20:27:15.722</v>
      </c>
      <c r="U1092" t="str">
        <f t="shared" si="126"/>
        <v>AA0632</v>
      </c>
      <c r="V1092">
        <v>0</v>
      </c>
      <c r="W1092">
        <v>0</v>
      </c>
      <c r="X1092">
        <v>2</v>
      </c>
      <c r="Y1092">
        <v>0</v>
      </c>
      <c r="AA1092">
        <v>0</v>
      </c>
      <c r="AB1092">
        <v>9</v>
      </c>
      <c r="AC1092">
        <v>3</v>
      </c>
      <c r="AD1092">
        <v>0</v>
      </c>
      <c r="AE1092">
        <v>10</v>
      </c>
      <c r="AF1092" t="s">
        <v>126</v>
      </c>
      <c r="AG1092">
        <v>0</v>
      </c>
      <c r="AH1092">
        <v>0</v>
      </c>
      <c r="AI1092">
        <v>2</v>
      </c>
      <c r="AJ1092">
        <v>0</v>
      </c>
      <c r="AK1092" t="s">
        <v>656</v>
      </c>
      <c r="AL1092">
        <v>31.921806</v>
      </c>
      <c r="AM1092" t="s">
        <v>657</v>
      </c>
      <c r="AN1092">
        <v>-100.97107200000001</v>
      </c>
      <c r="AQ1092" t="s">
        <v>129</v>
      </c>
      <c r="AR1092">
        <v>23</v>
      </c>
      <c r="AS1092">
        <v>22</v>
      </c>
      <c r="AT1092">
        <v>-320</v>
      </c>
      <c r="BB1092" t="str">
        <f t="shared" si="127"/>
        <v>1200</v>
      </c>
      <c r="BC1092">
        <v>1</v>
      </c>
      <c r="BD1092" t="str">
        <f t="shared" si="124"/>
        <v xml:space="preserve">N745MB  </v>
      </c>
      <c r="BE1092">
        <v>1</v>
      </c>
      <c r="BG1092">
        <v>0</v>
      </c>
      <c r="BH1092">
        <v>0</v>
      </c>
      <c r="BI1092">
        <v>0</v>
      </c>
      <c r="BL1092" t="s">
        <v>130</v>
      </c>
      <c r="BM1092">
        <v>1</v>
      </c>
      <c r="BN1092">
        <v>0</v>
      </c>
      <c r="BO1092">
        <v>0</v>
      </c>
      <c r="BP1092">
        <v>0</v>
      </c>
      <c r="BT1092">
        <v>0</v>
      </c>
      <c r="BU1092">
        <v>0</v>
      </c>
      <c r="CE1092" t="str">
        <f>"20:27:15.927"</f>
        <v>20:27:15.927</v>
      </c>
      <c r="CF1092">
        <v>927136469</v>
      </c>
      <c r="CS1092">
        <v>0</v>
      </c>
      <c r="CT1092">
        <v>2</v>
      </c>
      <c r="CU1092">
        <v>0</v>
      </c>
      <c r="CV1092">
        <v>2</v>
      </c>
      <c r="CW1092">
        <v>0</v>
      </c>
      <c r="CX1092">
        <v>5</v>
      </c>
      <c r="CY1092">
        <v>7</v>
      </c>
      <c r="CZ1092" t="s">
        <v>131</v>
      </c>
      <c r="DA1092">
        <v>116</v>
      </c>
      <c r="DB1092">
        <v>0</v>
      </c>
      <c r="DC1092" t="s">
        <v>132</v>
      </c>
      <c r="DD1092" t="s">
        <v>133</v>
      </c>
      <c r="DG1092">
        <v>14735565</v>
      </c>
      <c r="DI1092">
        <v>0</v>
      </c>
      <c r="DJ1092">
        <v>0</v>
      </c>
      <c r="DK1092">
        <v>1</v>
      </c>
      <c r="DL1092">
        <v>0</v>
      </c>
      <c r="DM1092">
        <v>0</v>
      </c>
      <c r="DN1092">
        <v>0</v>
      </c>
      <c r="DO1092">
        <v>0</v>
      </c>
      <c r="DP1092">
        <v>1</v>
      </c>
      <c r="DQ1092">
        <v>0</v>
      </c>
      <c r="DR1092">
        <v>0</v>
      </c>
      <c r="DS1092">
        <v>0</v>
      </c>
    </row>
    <row r="1093" spans="1:123" x14ac:dyDescent="0.25">
      <c r="A1093" t="str">
        <f>"11/29/2023 20:27:16.399"</f>
        <v>11/29/2023 20:27:16.399</v>
      </c>
      <c r="C1093" t="str">
        <f t="shared" si="123"/>
        <v>FFDF53C0</v>
      </c>
      <c r="D1093" t="s">
        <v>135</v>
      </c>
      <c r="E1093">
        <v>31</v>
      </c>
      <c r="H1093">
        <v>285</v>
      </c>
      <c r="I1093" t="s">
        <v>136</v>
      </c>
      <c r="J1093" t="s">
        <v>137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>"20:27:15.922"</f>
        <v>20:27:15.922</v>
      </c>
      <c r="T1093" t="str">
        <f>"20:27:15.722"</f>
        <v>20:27:15.722</v>
      </c>
      <c r="U1093" t="str">
        <f t="shared" si="126"/>
        <v>AA0632</v>
      </c>
      <c r="V1093">
        <v>0</v>
      </c>
      <c r="W1093">
        <v>0</v>
      </c>
      <c r="X1093">
        <v>2</v>
      </c>
      <c r="Y1093">
        <v>0</v>
      </c>
      <c r="AA1093">
        <v>0</v>
      </c>
      <c r="AB1093">
        <v>9</v>
      </c>
      <c r="AC1093">
        <v>3</v>
      </c>
      <c r="AD1093">
        <v>0</v>
      </c>
      <c r="AE1093">
        <v>10</v>
      </c>
      <c r="AF1093" t="s">
        <v>126</v>
      </c>
      <c r="AG1093">
        <v>0</v>
      </c>
      <c r="AH1093">
        <v>0</v>
      </c>
      <c r="AI1093">
        <v>2</v>
      </c>
      <c r="AJ1093">
        <v>0</v>
      </c>
      <c r="AK1093" t="s">
        <v>656</v>
      </c>
      <c r="AL1093">
        <v>31.921806</v>
      </c>
      <c r="AM1093" t="s">
        <v>657</v>
      </c>
      <c r="AN1093">
        <v>-100.97107200000001</v>
      </c>
      <c r="AQ1093" t="s">
        <v>129</v>
      </c>
      <c r="AR1093">
        <v>23</v>
      </c>
      <c r="AS1093">
        <v>22</v>
      </c>
      <c r="AT1093">
        <v>-320</v>
      </c>
      <c r="BB1093" t="str">
        <f t="shared" si="127"/>
        <v>1200</v>
      </c>
      <c r="BC1093">
        <v>1</v>
      </c>
      <c r="BD1093" t="str">
        <f t="shared" si="124"/>
        <v xml:space="preserve">N745MB  </v>
      </c>
      <c r="BE1093">
        <v>1</v>
      </c>
      <c r="BG1093">
        <v>0</v>
      </c>
      <c r="BH1093">
        <v>0</v>
      </c>
      <c r="BI1093">
        <v>0</v>
      </c>
      <c r="BL1093" t="s">
        <v>130</v>
      </c>
      <c r="BM1093">
        <v>1</v>
      </c>
      <c r="BN1093">
        <v>0</v>
      </c>
      <c r="BO1093">
        <v>0</v>
      </c>
      <c r="BP1093">
        <v>0</v>
      </c>
      <c r="BT1093">
        <v>0</v>
      </c>
      <c r="BU1093">
        <v>0</v>
      </c>
      <c r="CE1093" t="str">
        <f>"20:27:15.927"</f>
        <v>20:27:15.927</v>
      </c>
      <c r="CF1093">
        <v>927136469</v>
      </c>
      <c r="CS1093">
        <v>0</v>
      </c>
      <c r="CT1093">
        <v>2</v>
      </c>
      <c r="CU1093">
        <v>0</v>
      </c>
      <c r="CV1093">
        <v>2</v>
      </c>
      <c r="CW1093">
        <v>0</v>
      </c>
      <c r="CX1093">
        <v>5</v>
      </c>
      <c r="CY1093">
        <v>7</v>
      </c>
      <c r="CZ1093" t="s">
        <v>131</v>
      </c>
      <c r="DA1093">
        <v>116</v>
      </c>
      <c r="DB1093">
        <v>0</v>
      </c>
      <c r="DC1093" t="s">
        <v>132</v>
      </c>
      <c r="DD1093" t="s">
        <v>133</v>
      </c>
      <c r="DG1093">
        <v>14735565</v>
      </c>
      <c r="DI1093">
        <v>0</v>
      </c>
      <c r="DJ1093">
        <v>0</v>
      </c>
      <c r="DK1093">
        <v>1</v>
      </c>
      <c r="DL1093">
        <v>0</v>
      </c>
      <c r="DM1093">
        <v>0</v>
      </c>
      <c r="DN1093">
        <v>0</v>
      </c>
      <c r="DO1093">
        <v>0</v>
      </c>
      <c r="DP1093">
        <v>1</v>
      </c>
      <c r="DQ1093">
        <v>0</v>
      </c>
      <c r="DR1093">
        <v>0</v>
      </c>
      <c r="DS1093">
        <v>0</v>
      </c>
    </row>
    <row r="1094" spans="1:123" x14ac:dyDescent="0.25">
      <c r="A1094" t="str">
        <f>"11/29/2023 20:27:16.399"</f>
        <v>11/29/2023 20:27:16.399</v>
      </c>
      <c r="C1094" t="str">
        <f t="shared" si="123"/>
        <v>FFDF53C0</v>
      </c>
      <c r="D1094" t="s">
        <v>123</v>
      </c>
      <c r="E1094">
        <v>1</v>
      </c>
      <c r="F1094">
        <v>1001</v>
      </c>
      <c r="G1094" t="s">
        <v>134</v>
      </c>
      <c r="J1094" t="s">
        <v>125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>"20:27:15.922"</f>
        <v>20:27:15.922</v>
      </c>
      <c r="T1094" t="str">
        <f>"20:27:15.722"</f>
        <v>20:27:15.722</v>
      </c>
      <c r="U1094" t="str">
        <f t="shared" si="126"/>
        <v>AA0632</v>
      </c>
      <c r="V1094">
        <v>0</v>
      </c>
      <c r="W1094">
        <v>0</v>
      </c>
      <c r="X1094">
        <v>2</v>
      </c>
      <c r="Y1094">
        <v>0</v>
      </c>
      <c r="AA1094">
        <v>0</v>
      </c>
      <c r="AB1094">
        <v>9</v>
      </c>
      <c r="AC1094">
        <v>3</v>
      </c>
      <c r="AD1094">
        <v>0</v>
      </c>
      <c r="AE1094">
        <v>10</v>
      </c>
      <c r="AF1094" t="s">
        <v>126</v>
      </c>
      <c r="AG1094">
        <v>0</v>
      </c>
      <c r="AH1094">
        <v>0</v>
      </c>
      <c r="AI1094">
        <v>2</v>
      </c>
      <c r="AJ1094">
        <v>0</v>
      </c>
      <c r="AK1094" t="s">
        <v>656</v>
      </c>
      <c r="AL1094">
        <v>31.921806</v>
      </c>
      <c r="AM1094" t="s">
        <v>657</v>
      </c>
      <c r="AN1094">
        <v>-100.97107200000001</v>
      </c>
      <c r="AQ1094" t="s">
        <v>129</v>
      </c>
      <c r="AR1094">
        <v>23</v>
      </c>
      <c r="AS1094">
        <v>22</v>
      </c>
      <c r="AT1094">
        <v>-320</v>
      </c>
      <c r="BB1094" t="str">
        <f t="shared" si="127"/>
        <v>1200</v>
      </c>
      <c r="BC1094">
        <v>1</v>
      </c>
      <c r="BD1094" t="str">
        <f t="shared" si="124"/>
        <v xml:space="preserve">N745MB  </v>
      </c>
      <c r="BE1094">
        <v>1</v>
      </c>
      <c r="BG1094">
        <v>0</v>
      </c>
      <c r="BH1094">
        <v>0</v>
      </c>
      <c r="BI1094">
        <v>0</v>
      </c>
      <c r="BL1094" t="s">
        <v>130</v>
      </c>
      <c r="BM1094">
        <v>1</v>
      </c>
      <c r="BN1094">
        <v>0</v>
      </c>
      <c r="BO1094">
        <v>0</v>
      </c>
      <c r="BP1094">
        <v>0</v>
      </c>
      <c r="BT1094">
        <v>0</v>
      </c>
      <c r="BU1094">
        <v>0</v>
      </c>
      <c r="CE1094" t="str">
        <f>"20:27:15.927"</f>
        <v>20:27:15.927</v>
      </c>
      <c r="CF1094">
        <v>927136469</v>
      </c>
      <c r="CS1094">
        <v>0</v>
      </c>
      <c r="CT1094">
        <v>2</v>
      </c>
      <c r="CU1094">
        <v>0</v>
      </c>
      <c r="CV1094">
        <v>2</v>
      </c>
      <c r="CW1094">
        <v>0</v>
      </c>
      <c r="CX1094">
        <v>5</v>
      </c>
      <c r="CY1094">
        <v>7</v>
      </c>
      <c r="CZ1094" t="s">
        <v>131</v>
      </c>
      <c r="DA1094">
        <v>116</v>
      </c>
      <c r="DB1094">
        <v>0</v>
      </c>
      <c r="DC1094" t="s">
        <v>132</v>
      </c>
      <c r="DD1094" t="s">
        <v>133</v>
      </c>
      <c r="DG1094">
        <v>14735565</v>
      </c>
      <c r="DI1094">
        <v>0</v>
      </c>
      <c r="DJ1094">
        <v>0</v>
      </c>
      <c r="DK1094">
        <v>1</v>
      </c>
      <c r="DL1094">
        <v>0</v>
      </c>
      <c r="DM1094">
        <v>0</v>
      </c>
      <c r="DN1094">
        <v>0</v>
      </c>
      <c r="DO1094">
        <v>0</v>
      </c>
      <c r="DP1094">
        <v>1</v>
      </c>
      <c r="DQ1094">
        <v>0</v>
      </c>
      <c r="DR1094">
        <v>0</v>
      </c>
      <c r="DS1094">
        <v>0</v>
      </c>
    </row>
    <row r="1095" spans="1:123" x14ac:dyDescent="0.25">
      <c r="A1095" t="str">
        <f>"11/29/2023 20:27:17.384"</f>
        <v>11/29/2023 20:27:17.384</v>
      </c>
      <c r="C1095" t="str">
        <f t="shared" si="123"/>
        <v>FFDF53C0</v>
      </c>
      <c r="D1095" t="s">
        <v>123</v>
      </c>
      <c r="E1095">
        <v>14</v>
      </c>
      <c r="F1095">
        <v>1014</v>
      </c>
      <c r="G1095" t="s">
        <v>124</v>
      </c>
      <c r="J1095" t="s">
        <v>125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>"20:27:16.992"</f>
        <v>20:27:16.992</v>
      </c>
      <c r="T1095" t="str">
        <f>"20:27:16.692"</f>
        <v>20:27:16.692</v>
      </c>
      <c r="U1095" t="str">
        <f t="shared" si="126"/>
        <v>AA0632</v>
      </c>
      <c r="V1095">
        <v>0</v>
      </c>
      <c r="W1095">
        <v>0</v>
      </c>
      <c r="X1095">
        <v>2</v>
      </c>
      <c r="Y1095">
        <v>0</v>
      </c>
      <c r="AA1095">
        <v>0</v>
      </c>
      <c r="AB1095">
        <v>9</v>
      </c>
      <c r="AC1095">
        <v>3</v>
      </c>
      <c r="AD1095">
        <v>0</v>
      </c>
      <c r="AE1095">
        <v>10</v>
      </c>
      <c r="AF1095" t="s">
        <v>126</v>
      </c>
      <c r="AG1095">
        <v>0</v>
      </c>
      <c r="AH1095">
        <v>0</v>
      </c>
      <c r="AI1095">
        <v>2</v>
      </c>
      <c r="AJ1095">
        <v>0</v>
      </c>
      <c r="AK1095" t="s">
        <v>658</v>
      </c>
      <c r="AL1095">
        <v>31.921914000000001</v>
      </c>
      <c r="AM1095" t="s">
        <v>659</v>
      </c>
      <c r="AN1095">
        <v>-100.9709</v>
      </c>
      <c r="AQ1095" t="s">
        <v>129</v>
      </c>
      <c r="AR1095">
        <v>23</v>
      </c>
      <c r="AS1095">
        <v>20</v>
      </c>
      <c r="AT1095">
        <v>-320</v>
      </c>
      <c r="BB1095" t="str">
        <f t="shared" si="127"/>
        <v>1200</v>
      </c>
      <c r="BC1095">
        <v>1</v>
      </c>
      <c r="BD1095" t="str">
        <f t="shared" si="124"/>
        <v xml:space="preserve">N745MB  </v>
      </c>
      <c r="BE1095">
        <v>1</v>
      </c>
      <c r="BG1095">
        <v>0</v>
      </c>
      <c r="BH1095">
        <v>0</v>
      </c>
      <c r="BI1095">
        <v>0</v>
      </c>
      <c r="BL1095" t="s">
        <v>130</v>
      </c>
      <c r="BM1095">
        <v>1</v>
      </c>
      <c r="BN1095">
        <v>0</v>
      </c>
      <c r="BO1095">
        <v>0</v>
      </c>
      <c r="BP1095">
        <v>0</v>
      </c>
      <c r="BT1095">
        <v>0</v>
      </c>
      <c r="BU1095">
        <v>0</v>
      </c>
      <c r="CE1095" t="str">
        <f>"20:27:16.997"</f>
        <v>20:27:16.997</v>
      </c>
      <c r="CF1095">
        <v>997065143</v>
      </c>
      <c r="CS1095">
        <v>0</v>
      </c>
      <c r="CT1095">
        <v>2</v>
      </c>
      <c r="CU1095">
        <v>0</v>
      </c>
      <c r="CV1095">
        <v>2</v>
      </c>
      <c r="CW1095">
        <v>0</v>
      </c>
      <c r="CX1095">
        <v>5</v>
      </c>
      <c r="CY1095">
        <v>7</v>
      </c>
      <c r="CZ1095" t="s">
        <v>131</v>
      </c>
      <c r="DA1095">
        <v>116</v>
      </c>
      <c r="DB1095">
        <v>3</v>
      </c>
      <c r="DC1095" t="s">
        <v>132</v>
      </c>
      <c r="DD1095" t="s">
        <v>133</v>
      </c>
      <c r="DG1095">
        <v>8455072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1</v>
      </c>
      <c r="DQ1095">
        <v>0</v>
      </c>
      <c r="DR1095">
        <v>0</v>
      </c>
      <c r="DS1095">
        <v>0</v>
      </c>
    </row>
    <row r="1096" spans="1:123" x14ac:dyDescent="0.25">
      <c r="A1096" t="str">
        <f>"11/29/2023 20:27:17.384"</f>
        <v>11/29/2023 20:27:17.384</v>
      </c>
      <c r="C1096" t="str">
        <f t="shared" si="123"/>
        <v>FFDF53C0</v>
      </c>
      <c r="D1096" t="s">
        <v>135</v>
      </c>
      <c r="E1096">
        <v>31</v>
      </c>
      <c r="H1096">
        <v>285</v>
      </c>
      <c r="I1096" t="s">
        <v>136</v>
      </c>
      <c r="J1096" t="s">
        <v>137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>"20:27:16.992"</f>
        <v>20:27:16.992</v>
      </c>
      <c r="T1096" t="str">
        <f>"20:27:16.692"</f>
        <v>20:27:16.692</v>
      </c>
      <c r="U1096" t="str">
        <f t="shared" si="126"/>
        <v>AA0632</v>
      </c>
      <c r="V1096">
        <v>0</v>
      </c>
      <c r="W1096">
        <v>0</v>
      </c>
      <c r="X1096">
        <v>2</v>
      </c>
      <c r="Y1096">
        <v>0</v>
      </c>
      <c r="AA1096">
        <v>0</v>
      </c>
      <c r="AB1096">
        <v>9</v>
      </c>
      <c r="AC1096">
        <v>3</v>
      </c>
      <c r="AD1096">
        <v>0</v>
      </c>
      <c r="AE1096">
        <v>10</v>
      </c>
      <c r="AF1096" t="s">
        <v>126</v>
      </c>
      <c r="AG1096">
        <v>0</v>
      </c>
      <c r="AH1096">
        <v>0</v>
      </c>
      <c r="AI1096">
        <v>2</v>
      </c>
      <c r="AJ1096">
        <v>0</v>
      </c>
      <c r="AK1096" t="s">
        <v>658</v>
      </c>
      <c r="AL1096">
        <v>31.921914000000001</v>
      </c>
      <c r="AM1096" t="s">
        <v>659</v>
      </c>
      <c r="AN1096">
        <v>-100.9709</v>
      </c>
      <c r="AQ1096" t="s">
        <v>129</v>
      </c>
      <c r="AR1096">
        <v>23</v>
      </c>
      <c r="AS1096">
        <v>20</v>
      </c>
      <c r="AT1096">
        <v>-320</v>
      </c>
      <c r="BB1096" t="str">
        <f t="shared" si="127"/>
        <v>1200</v>
      </c>
      <c r="BC1096">
        <v>1</v>
      </c>
      <c r="BD1096" t="str">
        <f t="shared" si="124"/>
        <v xml:space="preserve">N745MB  </v>
      </c>
      <c r="BE1096">
        <v>1</v>
      </c>
      <c r="BG1096">
        <v>0</v>
      </c>
      <c r="BH1096">
        <v>0</v>
      </c>
      <c r="BI1096">
        <v>0</v>
      </c>
      <c r="BL1096" t="s">
        <v>130</v>
      </c>
      <c r="BM1096">
        <v>1</v>
      </c>
      <c r="BN1096">
        <v>0</v>
      </c>
      <c r="BO1096">
        <v>0</v>
      </c>
      <c r="BP1096">
        <v>0</v>
      </c>
      <c r="BT1096">
        <v>0</v>
      </c>
      <c r="BU1096">
        <v>0</v>
      </c>
      <c r="CE1096" t="str">
        <f>"20:27:16.997"</f>
        <v>20:27:16.997</v>
      </c>
      <c r="CF1096">
        <v>997065143</v>
      </c>
      <c r="CS1096">
        <v>0</v>
      </c>
      <c r="CT1096">
        <v>2</v>
      </c>
      <c r="CU1096">
        <v>0</v>
      </c>
      <c r="CV1096">
        <v>2</v>
      </c>
      <c r="CW1096">
        <v>0</v>
      </c>
      <c r="CX1096">
        <v>5</v>
      </c>
      <c r="CY1096">
        <v>7</v>
      </c>
      <c r="CZ1096" t="s">
        <v>131</v>
      </c>
      <c r="DA1096">
        <v>116</v>
      </c>
      <c r="DB1096">
        <v>3</v>
      </c>
      <c r="DC1096" t="s">
        <v>132</v>
      </c>
      <c r="DD1096" t="s">
        <v>133</v>
      </c>
      <c r="DG1096">
        <v>8455072</v>
      </c>
      <c r="DI1096">
        <v>0</v>
      </c>
      <c r="DJ1096">
        <v>0</v>
      </c>
      <c r="DK1096">
        <v>1</v>
      </c>
      <c r="DL1096">
        <v>0</v>
      </c>
      <c r="DM1096">
        <v>0</v>
      </c>
      <c r="DN1096">
        <v>0</v>
      </c>
      <c r="DO1096">
        <v>0</v>
      </c>
      <c r="DP1096">
        <v>1</v>
      </c>
      <c r="DQ1096">
        <v>0</v>
      </c>
      <c r="DR1096">
        <v>0</v>
      </c>
      <c r="DS1096">
        <v>0</v>
      </c>
    </row>
    <row r="1097" spans="1:123" x14ac:dyDescent="0.25">
      <c r="A1097" t="str">
        <f>"11/29/2023 20:27:17.384"</f>
        <v>11/29/2023 20:27:17.384</v>
      </c>
      <c r="C1097" t="str">
        <f t="shared" si="123"/>
        <v>FFDF53C0</v>
      </c>
      <c r="D1097" t="s">
        <v>123</v>
      </c>
      <c r="E1097">
        <v>1</v>
      </c>
      <c r="F1097">
        <v>1001</v>
      </c>
      <c r="G1097" t="s">
        <v>134</v>
      </c>
      <c r="J1097" t="s">
        <v>125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>"20:27:16.992"</f>
        <v>20:27:16.992</v>
      </c>
      <c r="T1097" t="str">
        <f>"20:27:16.692"</f>
        <v>20:27:16.692</v>
      </c>
      <c r="U1097" t="str">
        <f t="shared" si="126"/>
        <v>AA0632</v>
      </c>
      <c r="V1097">
        <v>0</v>
      </c>
      <c r="W1097">
        <v>0</v>
      </c>
      <c r="X1097">
        <v>2</v>
      </c>
      <c r="Y1097">
        <v>0</v>
      </c>
      <c r="AA1097">
        <v>0</v>
      </c>
      <c r="AB1097">
        <v>9</v>
      </c>
      <c r="AC1097">
        <v>3</v>
      </c>
      <c r="AD1097">
        <v>0</v>
      </c>
      <c r="AE1097">
        <v>10</v>
      </c>
      <c r="AF1097" t="s">
        <v>126</v>
      </c>
      <c r="AG1097">
        <v>0</v>
      </c>
      <c r="AH1097">
        <v>0</v>
      </c>
      <c r="AI1097">
        <v>2</v>
      </c>
      <c r="AJ1097">
        <v>0</v>
      </c>
      <c r="AK1097" t="s">
        <v>658</v>
      </c>
      <c r="AL1097">
        <v>31.921914000000001</v>
      </c>
      <c r="AM1097" t="s">
        <v>659</v>
      </c>
      <c r="AN1097">
        <v>-100.9709</v>
      </c>
      <c r="AQ1097" t="s">
        <v>129</v>
      </c>
      <c r="AR1097">
        <v>23</v>
      </c>
      <c r="AS1097">
        <v>20</v>
      </c>
      <c r="AT1097">
        <v>-320</v>
      </c>
      <c r="BB1097" t="str">
        <f t="shared" si="127"/>
        <v>1200</v>
      </c>
      <c r="BC1097">
        <v>1</v>
      </c>
      <c r="BD1097" t="str">
        <f t="shared" si="124"/>
        <v xml:space="preserve">N745MB  </v>
      </c>
      <c r="BE1097">
        <v>1</v>
      </c>
      <c r="BG1097">
        <v>0</v>
      </c>
      <c r="BH1097">
        <v>0</v>
      </c>
      <c r="BI1097">
        <v>0</v>
      </c>
      <c r="BL1097" t="s">
        <v>130</v>
      </c>
      <c r="BM1097">
        <v>1</v>
      </c>
      <c r="BN1097">
        <v>0</v>
      </c>
      <c r="BO1097">
        <v>0</v>
      </c>
      <c r="BP1097">
        <v>0</v>
      </c>
      <c r="BT1097">
        <v>0</v>
      </c>
      <c r="BU1097">
        <v>0</v>
      </c>
      <c r="CE1097" t="str">
        <f>"20:27:16.997"</f>
        <v>20:27:16.997</v>
      </c>
      <c r="CF1097">
        <v>997065143</v>
      </c>
      <c r="CS1097">
        <v>0</v>
      </c>
      <c r="CT1097">
        <v>2</v>
      </c>
      <c r="CU1097">
        <v>0</v>
      </c>
      <c r="CV1097">
        <v>2</v>
      </c>
      <c r="CW1097">
        <v>0</v>
      </c>
      <c r="CX1097">
        <v>5</v>
      </c>
      <c r="CY1097">
        <v>7</v>
      </c>
      <c r="CZ1097" t="s">
        <v>131</v>
      </c>
      <c r="DA1097">
        <v>116</v>
      </c>
      <c r="DB1097">
        <v>3</v>
      </c>
      <c r="DC1097" t="s">
        <v>132</v>
      </c>
      <c r="DD1097" t="s">
        <v>133</v>
      </c>
      <c r="DG1097">
        <v>8455072</v>
      </c>
      <c r="DI1097">
        <v>0</v>
      </c>
      <c r="DJ1097">
        <v>0</v>
      </c>
      <c r="DK1097">
        <v>1</v>
      </c>
      <c r="DL1097">
        <v>0</v>
      </c>
      <c r="DM1097">
        <v>0</v>
      </c>
      <c r="DN1097">
        <v>0</v>
      </c>
      <c r="DO1097">
        <v>0</v>
      </c>
      <c r="DP1097">
        <v>1</v>
      </c>
      <c r="DQ1097">
        <v>0</v>
      </c>
      <c r="DR1097">
        <v>0</v>
      </c>
      <c r="DS1097">
        <v>0</v>
      </c>
    </row>
    <row r="1098" spans="1:123" x14ac:dyDescent="0.25">
      <c r="A1098" t="str">
        <f>"11/29/2023 20:27:17.384"</f>
        <v>11/29/2023 20:27:17.384</v>
      </c>
      <c r="C1098" t="str">
        <f t="shared" si="123"/>
        <v>FFDF53C0</v>
      </c>
      <c r="D1098" t="s">
        <v>138</v>
      </c>
      <c r="E1098">
        <v>3</v>
      </c>
      <c r="H1098">
        <v>160</v>
      </c>
      <c r="I1098" t="s">
        <v>124</v>
      </c>
      <c r="J1098" t="s">
        <v>139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>"20:27:16.992"</f>
        <v>20:27:16.992</v>
      </c>
      <c r="T1098" t="str">
        <f>"20:27:16.692"</f>
        <v>20:27:16.692</v>
      </c>
      <c r="U1098" t="str">
        <f t="shared" si="126"/>
        <v>AA0632</v>
      </c>
      <c r="V1098">
        <v>0</v>
      </c>
      <c r="W1098">
        <v>0</v>
      </c>
      <c r="X1098">
        <v>2</v>
      </c>
      <c r="Y1098">
        <v>0</v>
      </c>
      <c r="AA1098">
        <v>0</v>
      </c>
      <c r="AB1098">
        <v>9</v>
      </c>
      <c r="AC1098">
        <v>3</v>
      </c>
      <c r="AD1098">
        <v>0</v>
      </c>
      <c r="AE1098">
        <v>10</v>
      </c>
      <c r="AF1098" t="s">
        <v>126</v>
      </c>
      <c r="AG1098">
        <v>0</v>
      </c>
      <c r="AH1098">
        <v>0</v>
      </c>
      <c r="AI1098">
        <v>2</v>
      </c>
      <c r="AJ1098">
        <v>0</v>
      </c>
      <c r="AK1098" t="s">
        <v>658</v>
      </c>
      <c r="AL1098">
        <v>31.921914000000001</v>
      </c>
      <c r="AM1098" t="s">
        <v>659</v>
      </c>
      <c r="AN1098">
        <v>-100.9709</v>
      </c>
      <c r="AQ1098" t="s">
        <v>129</v>
      </c>
      <c r="AR1098">
        <v>23</v>
      </c>
      <c r="AS1098">
        <v>20</v>
      </c>
      <c r="AT1098">
        <v>-320</v>
      </c>
      <c r="BB1098" t="str">
        <f t="shared" si="127"/>
        <v>1200</v>
      </c>
      <c r="BC1098">
        <v>1</v>
      </c>
      <c r="BD1098" t="str">
        <f t="shared" si="124"/>
        <v xml:space="preserve">N745MB  </v>
      </c>
      <c r="BE1098">
        <v>1</v>
      </c>
      <c r="BG1098">
        <v>0</v>
      </c>
      <c r="BH1098">
        <v>0</v>
      </c>
      <c r="BI1098">
        <v>0</v>
      </c>
      <c r="BL1098" t="s">
        <v>130</v>
      </c>
      <c r="BM1098">
        <v>1</v>
      </c>
      <c r="BN1098">
        <v>0</v>
      </c>
      <c r="BO1098">
        <v>0</v>
      </c>
      <c r="BP1098">
        <v>0</v>
      </c>
      <c r="BT1098">
        <v>0</v>
      </c>
      <c r="BU1098">
        <v>0</v>
      </c>
      <c r="CE1098" t="str">
        <f>"20:27:16.997"</f>
        <v>20:27:16.997</v>
      </c>
      <c r="CF1098">
        <v>997065143</v>
      </c>
      <c r="CS1098">
        <v>0</v>
      </c>
      <c r="CT1098">
        <v>2</v>
      </c>
      <c r="CU1098">
        <v>0</v>
      </c>
      <c r="CV1098">
        <v>2</v>
      </c>
      <c r="CW1098">
        <v>0</v>
      </c>
      <c r="CX1098">
        <v>5</v>
      </c>
      <c r="CY1098">
        <v>7</v>
      </c>
      <c r="CZ1098" t="s">
        <v>131</v>
      </c>
      <c r="DA1098">
        <v>116</v>
      </c>
      <c r="DB1098">
        <v>3</v>
      </c>
      <c r="DC1098" t="s">
        <v>132</v>
      </c>
      <c r="DD1098" t="s">
        <v>133</v>
      </c>
      <c r="DG1098">
        <v>8455072</v>
      </c>
      <c r="DI1098">
        <v>0</v>
      </c>
      <c r="DJ1098">
        <v>0</v>
      </c>
      <c r="DK1098">
        <v>1</v>
      </c>
      <c r="DL1098">
        <v>0</v>
      </c>
      <c r="DM1098">
        <v>0</v>
      </c>
      <c r="DN1098">
        <v>0</v>
      </c>
      <c r="DO1098">
        <v>0</v>
      </c>
      <c r="DP1098">
        <v>1</v>
      </c>
      <c r="DQ1098">
        <v>0</v>
      </c>
      <c r="DR1098">
        <v>0</v>
      </c>
      <c r="DS1098">
        <v>0</v>
      </c>
    </row>
    <row r="1099" spans="1:123" x14ac:dyDescent="0.25">
      <c r="A1099" t="str">
        <f>"11/29/2023 20:27:18.446"</f>
        <v>11/29/2023 20:27:18.446</v>
      </c>
      <c r="C1099" t="str">
        <f t="shared" si="123"/>
        <v>FFDF53C0</v>
      </c>
      <c r="D1099" t="s">
        <v>135</v>
      </c>
      <c r="E1099">
        <v>31</v>
      </c>
      <c r="H1099">
        <v>285</v>
      </c>
      <c r="I1099" t="s">
        <v>136</v>
      </c>
      <c r="J1099" t="s">
        <v>137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>"20:27:17.977"</f>
        <v>20:27:17.977</v>
      </c>
      <c r="T1099" t="str">
        <f>"20:27:17.777"</f>
        <v>20:27:17.777</v>
      </c>
      <c r="U1099" t="str">
        <f t="shared" si="126"/>
        <v>AA0632</v>
      </c>
      <c r="V1099">
        <v>0</v>
      </c>
      <c r="W1099">
        <v>0</v>
      </c>
      <c r="X1099">
        <v>2</v>
      </c>
      <c r="Y1099">
        <v>0</v>
      </c>
      <c r="AA1099">
        <v>0</v>
      </c>
      <c r="AB1099">
        <v>9</v>
      </c>
      <c r="AC1099">
        <v>3</v>
      </c>
      <c r="AD1099">
        <v>0</v>
      </c>
      <c r="AE1099">
        <v>10</v>
      </c>
      <c r="AF1099" t="s">
        <v>126</v>
      </c>
      <c r="AG1099">
        <v>0</v>
      </c>
      <c r="AH1099">
        <v>0</v>
      </c>
      <c r="AI1099">
        <v>2</v>
      </c>
      <c r="AJ1099">
        <v>0</v>
      </c>
      <c r="AK1099" t="s">
        <v>660</v>
      </c>
      <c r="AL1099">
        <v>31.921977999999999</v>
      </c>
      <c r="AM1099" t="s">
        <v>661</v>
      </c>
      <c r="AN1099">
        <v>-100.970793</v>
      </c>
      <c r="AQ1099" t="s">
        <v>129</v>
      </c>
      <c r="AR1099">
        <v>23</v>
      </c>
      <c r="AS1099">
        <v>19</v>
      </c>
      <c r="AT1099">
        <v>-384</v>
      </c>
      <c r="BB1099" t="str">
        <f t="shared" si="127"/>
        <v>1200</v>
      </c>
      <c r="BC1099">
        <v>1</v>
      </c>
      <c r="BD1099" t="str">
        <f t="shared" si="124"/>
        <v xml:space="preserve">N745MB  </v>
      </c>
      <c r="BE1099">
        <v>1</v>
      </c>
      <c r="BG1099">
        <v>0</v>
      </c>
      <c r="BH1099">
        <v>0</v>
      </c>
      <c r="BI1099">
        <v>0</v>
      </c>
      <c r="BL1099" t="s">
        <v>130</v>
      </c>
      <c r="BM1099">
        <v>1</v>
      </c>
      <c r="BN1099">
        <v>0</v>
      </c>
      <c r="BO1099">
        <v>0</v>
      </c>
      <c r="BP1099">
        <v>0</v>
      </c>
      <c r="BT1099">
        <v>0</v>
      </c>
      <c r="BU1099">
        <v>0</v>
      </c>
      <c r="CE1099" t="str">
        <f>"20:27:17.981"</f>
        <v>20:27:17.981</v>
      </c>
      <c r="CF1099">
        <v>980999807</v>
      </c>
      <c r="CS1099">
        <v>0</v>
      </c>
      <c r="CT1099">
        <v>2</v>
      </c>
      <c r="CU1099">
        <v>0</v>
      </c>
      <c r="CV1099">
        <v>2</v>
      </c>
      <c r="CW1099">
        <v>0</v>
      </c>
      <c r="CX1099">
        <v>5</v>
      </c>
      <c r="CY1099">
        <v>7</v>
      </c>
      <c r="CZ1099" t="s">
        <v>131</v>
      </c>
      <c r="DA1099">
        <v>116</v>
      </c>
      <c r="DB1099">
        <v>0</v>
      </c>
      <c r="DC1099" t="s">
        <v>132</v>
      </c>
      <c r="DD1099" t="s">
        <v>133</v>
      </c>
      <c r="DG1099">
        <v>14737210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1</v>
      </c>
      <c r="DQ1099">
        <v>0</v>
      </c>
      <c r="DR1099">
        <v>0</v>
      </c>
      <c r="DS1099">
        <v>0</v>
      </c>
    </row>
    <row r="1100" spans="1:123" x14ac:dyDescent="0.25">
      <c r="A1100" t="str">
        <f>"11/29/2023 20:27:18.446"</f>
        <v>11/29/2023 20:27:18.446</v>
      </c>
      <c r="C1100" t="str">
        <f t="shared" si="123"/>
        <v>FFDF53C0</v>
      </c>
      <c r="D1100" t="s">
        <v>123</v>
      </c>
      <c r="E1100">
        <v>1</v>
      </c>
      <c r="F1100">
        <v>1001</v>
      </c>
      <c r="G1100" t="s">
        <v>134</v>
      </c>
      <c r="J1100" t="s">
        <v>125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>"20:27:17.977"</f>
        <v>20:27:17.977</v>
      </c>
      <c r="T1100" t="str">
        <f>"20:27:17.777"</f>
        <v>20:27:17.777</v>
      </c>
      <c r="U1100" t="str">
        <f t="shared" si="126"/>
        <v>AA0632</v>
      </c>
      <c r="V1100">
        <v>0</v>
      </c>
      <c r="W1100">
        <v>0</v>
      </c>
      <c r="X1100">
        <v>2</v>
      </c>
      <c r="Y1100">
        <v>0</v>
      </c>
      <c r="AA1100">
        <v>0</v>
      </c>
      <c r="AB1100">
        <v>9</v>
      </c>
      <c r="AC1100">
        <v>3</v>
      </c>
      <c r="AD1100">
        <v>0</v>
      </c>
      <c r="AE1100">
        <v>10</v>
      </c>
      <c r="AF1100" t="s">
        <v>126</v>
      </c>
      <c r="AG1100">
        <v>0</v>
      </c>
      <c r="AH1100">
        <v>0</v>
      </c>
      <c r="AI1100">
        <v>2</v>
      </c>
      <c r="AJ1100">
        <v>0</v>
      </c>
      <c r="AK1100" t="s">
        <v>660</v>
      </c>
      <c r="AL1100">
        <v>31.921977999999999</v>
      </c>
      <c r="AM1100" t="s">
        <v>661</v>
      </c>
      <c r="AN1100">
        <v>-100.970793</v>
      </c>
      <c r="AQ1100" t="s">
        <v>129</v>
      </c>
      <c r="AR1100">
        <v>23</v>
      </c>
      <c r="AS1100">
        <v>19</v>
      </c>
      <c r="AT1100">
        <v>-384</v>
      </c>
      <c r="BB1100" t="str">
        <f t="shared" si="127"/>
        <v>1200</v>
      </c>
      <c r="BC1100">
        <v>1</v>
      </c>
      <c r="BD1100" t="str">
        <f t="shared" si="124"/>
        <v xml:space="preserve">N745MB  </v>
      </c>
      <c r="BE1100">
        <v>1</v>
      </c>
      <c r="BG1100">
        <v>0</v>
      </c>
      <c r="BH1100">
        <v>0</v>
      </c>
      <c r="BI1100">
        <v>0</v>
      </c>
      <c r="BL1100" t="s">
        <v>130</v>
      </c>
      <c r="BM1100">
        <v>1</v>
      </c>
      <c r="BN1100">
        <v>0</v>
      </c>
      <c r="BO1100">
        <v>0</v>
      </c>
      <c r="BP1100">
        <v>0</v>
      </c>
      <c r="BT1100">
        <v>0</v>
      </c>
      <c r="BU1100">
        <v>0</v>
      </c>
      <c r="CE1100" t="str">
        <f>"20:27:17.981"</f>
        <v>20:27:17.981</v>
      </c>
      <c r="CF1100">
        <v>980999807</v>
      </c>
      <c r="CS1100">
        <v>0</v>
      </c>
      <c r="CT1100">
        <v>2</v>
      </c>
      <c r="CU1100">
        <v>0</v>
      </c>
      <c r="CV1100">
        <v>2</v>
      </c>
      <c r="CW1100">
        <v>0</v>
      </c>
      <c r="CX1100">
        <v>5</v>
      </c>
      <c r="CY1100">
        <v>7</v>
      </c>
      <c r="CZ1100" t="s">
        <v>131</v>
      </c>
      <c r="DA1100">
        <v>116</v>
      </c>
      <c r="DB1100">
        <v>0</v>
      </c>
      <c r="DC1100" t="s">
        <v>132</v>
      </c>
      <c r="DD1100" t="s">
        <v>133</v>
      </c>
      <c r="DG1100">
        <v>14737210</v>
      </c>
      <c r="DI1100">
        <v>0</v>
      </c>
      <c r="DJ1100">
        <v>0</v>
      </c>
      <c r="DK1100">
        <v>1</v>
      </c>
      <c r="DL1100">
        <v>0</v>
      </c>
      <c r="DM1100">
        <v>0</v>
      </c>
      <c r="DN1100">
        <v>0</v>
      </c>
      <c r="DO1100">
        <v>0</v>
      </c>
      <c r="DP1100">
        <v>1</v>
      </c>
      <c r="DQ1100">
        <v>0</v>
      </c>
      <c r="DR1100">
        <v>0</v>
      </c>
      <c r="DS1100">
        <v>0</v>
      </c>
    </row>
    <row r="1101" spans="1:123" x14ac:dyDescent="0.25">
      <c r="A1101" t="str">
        <f>"11/29/2023 20:27:18.446"</f>
        <v>11/29/2023 20:27:18.446</v>
      </c>
      <c r="C1101" t="str">
        <f t="shared" si="123"/>
        <v>FFDF53C0</v>
      </c>
      <c r="D1101" t="s">
        <v>138</v>
      </c>
      <c r="E1101">
        <v>3</v>
      </c>
      <c r="H1101">
        <v>160</v>
      </c>
      <c r="I1101" t="s">
        <v>124</v>
      </c>
      <c r="J1101" t="s">
        <v>139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>"20:27:17.977"</f>
        <v>20:27:17.977</v>
      </c>
      <c r="T1101" t="str">
        <f>"20:27:17.777"</f>
        <v>20:27:17.777</v>
      </c>
      <c r="U1101" t="str">
        <f t="shared" si="126"/>
        <v>AA0632</v>
      </c>
      <c r="V1101">
        <v>0</v>
      </c>
      <c r="W1101">
        <v>0</v>
      </c>
      <c r="X1101">
        <v>2</v>
      </c>
      <c r="Y1101">
        <v>0</v>
      </c>
      <c r="AA1101">
        <v>0</v>
      </c>
      <c r="AB1101">
        <v>9</v>
      </c>
      <c r="AC1101">
        <v>3</v>
      </c>
      <c r="AD1101">
        <v>0</v>
      </c>
      <c r="AE1101">
        <v>10</v>
      </c>
      <c r="AF1101" t="s">
        <v>126</v>
      </c>
      <c r="AG1101">
        <v>0</v>
      </c>
      <c r="AH1101">
        <v>0</v>
      </c>
      <c r="AI1101">
        <v>2</v>
      </c>
      <c r="AJ1101">
        <v>0</v>
      </c>
      <c r="AK1101" t="s">
        <v>660</v>
      </c>
      <c r="AL1101">
        <v>31.921977999999999</v>
      </c>
      <c r="AM1101" t="s">
        <v>661</v>
      </c>
      <c r="AN1101">
        <v>-100.970793</v>
      </c>
      <c r="AQ1101" t="s">
        <v>129</v>
      </c>
      <c r="AR1101">
        <v>23</v>
      </c>
      <c r="AS1101">
        <v>19</v>
      </c>
      <c r="AT1101">
        <v>-384</v>
      </c>
      <c r="BB1101" t="str">
        <f t="shared" si="127"/>
        <v>1200</v>
      </c>
      <c r="BC1101">
        <v>1</v>
      </c>
      <c r="BD1101" t="str">
        <f t="shared" si="124"/>
        <v xml:space="preserve">N745MB  </v>
      </c>
      <c r="BE1101">
        <v>1</v>
      </c>
      <c r="BG1101">
        <v>0</v>
      </c>
      <c r="BH1101">
        <v>0</v>
      </c>
      <c r="BI1101">
        <v>0</v>
      </c>
      <c r="BL1101" t="s">
        <v>130</v>
      </c>
      <c r="BM1101">
        <v>1</v>
      </c>
      <c r="BN1101">
        <v>0</v>
      </c>
      <c r="BO1101">
        <v>0</v>
      </c>
      <c r="BP1101">
        <v>0</v>
      </c>
      <c r="BT1101">
        <v>0</v>
      </c>
      <c r="BU1101">
        <v>0</v>
      </c>
      <c r="CE1101" t="str">
        <f>"20:27:17.981"</f>
        <v>20:27:17.981</v>
      </c>
      <c r="CF1101">
        <v>980999807</v>
      </c>
      <c r="CS1101">
        <v>0</v>
      </c>
      <c r="CT1101">
        <v>2</v>
      </c>
      <c r="CU1101">
        <v>0</v>
      </c>
      <c r="CV1101">
        <v>2</v>
      </c>
      <c r="CW1101">
        <v>0</v>
      </c>
      <c r="CX1101">
        <v>5</v>
      </c>
      <c r="CY1101">
        <v>7</v>
      </c>
      <c r="CZ1101" t="s">
        <v>131</v>
      </c>
      <c r="DA1101">
        <v>116</v>
      </c>
      <c r="DB1101">
        <v>0</v>
      </c>
      <c r="DC1101" t="s">
        <v>132</v>
      </c>
      <c r="DD1101" t="s">
        <v>133</v>
      </c>
      <c r="DG1101">
        <v>14737210</v>
      </c>
      <c r="DI1101">
        <v>0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1</v>
      </c>
      <c r="DQ1101">
        <v>0</v>
      </c>
      <c r="DR1101">
        <v>0</v>
      </c>
      <c r="DS1101">
        <v>0</v>
      </c>
    </row>
    <row r="1102" spans="1:123" x14ac:dyDescent="0.25">
      <c r="A1102" t="str">
        <f>"11/29/2023 20:27:19.368"</f>
        <v>11/29/2023 20:27:19.368</v>
      </c>
      <c r="C1102" t="str">
        <f t="shared" si="123"/>
        <v>FFDF53C0</v>
      </c>
      <c r="D1102" t="s">
        <v>138</v>
      </c>
      <c r="E1102">
        <v>3</v>
      </c>
      <c r="H1102">
        <v>160</v>
      </c>
      <c r="I1102" t="s">
        <v>124</v>
      </c>
      <c r="J1102" t="s">
        <v>139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>"20:27:19.063"</f>
        <v>20:27:19.063</v>
      </c>
      <c r="T1102" t="str">
        <f>"20:27:18.762"</f>
        <v>20:27:18.762</v>
      </c>
      <c r="U1102" t="str">
        <f t="shared" si="126"/>
        <v>AA0632</v>
      </c>
      <c r="V1102">
        <v>0</v>
      </c>
      <c r="W1102">
        <v>0</v>
      </c>
      <c r="X1102">
        <v>2</v>
      </c>
      <c r="Y1102">
        <v>0</v>
      </c>
      <c r="AA1102">
        <v>0</v>
      </c>
      <c r="AB1102">
        <v>9</v>
      </c>
      <c r="AC1102">
        <v>3</v>
      </c>
      <c r="AD1102">
        <v>0</v>
      </c>
      <c r="AE1102">
        <v>10</v>
      </c>
      <c r="AF1102" t="s">
        <v>126</v>
      </c>
      <c r="AG1102">
        <v>0</v>
      </c>
      <c r="AH1102">
        <v>0</v>
      </c>
      <c r="AI1102">
        <v>2</v>
      </c>
      <c r="AJ1102">
        <v>0</v>
      </c>
      <c r="AK1102" t="s">
        <v>662</v>
      </c>
      <c r="AL1102">
        <v>31.922063999999999</v>
      </c>
      <c r="AM1102" t="s">
        <v>663</v>
      </c>
      <c r="AN1102">
        <v>-100.970664</v>
      </c>
      <c r="AQ1102" t="s">
        <v>129</v>
      </c>
      <c r="AR1102">
        <v>23</v>
      </c>
      <c r="AS1102">
        <v>17</v>
      </c>
      <c r="AT1102">
        <v>-320</v>
      </c>
      <c r="BB1102" t="str">
        <f t="shared" si="127"/>
        <v>1200</v>
      </c>
      <c r="BC1102">
        <v>1</v>
      </c>
      <c r="BD1102" t="str">
        <f t="shared" si="124"/>
        <v xml:space="preserve">N745MB  </v>
      </c>
      <c r="BE1102">
        <v>1</v>
      </c>
      <c r="BG1102">
        <v>0</v>
      </c>
      <c r="BH1102">
        <v>0</v>
      </c>
      <c r="BI1102">
        <v>0</v>
      </c>
      <c r="BL1102" t="s">
        <v>130</v>
      </c>
      <c r="BM1102">
        <v>1</v>
      </c>
      <c r="BN1102">
        <v>0</v>
      </c>
      <c r="BO1102">
        <v>0</v>
      </c>
      <c r="BP1102">
        <v>0</v>
      </c>
      <c r="BT1102">
        <v>0</v>
      </c>
      <c r="BU1102">
        <v>0</v>
      </c>
      <c r="CE1102" t="str">
        <f>"20:27:19.065"</f>
        <v>20:27:19.065</v>
      </c>
      <c r="CF1102">
        <v>64929841</v>
      </c>
      <c r="CS1102">
        <v>0</v>
      </c>
      <c r="CT1102">
        <v>2</v>
      </c>
      <c r="CU1102">
        <v>0</v>
      </c>
      <c r="CV1102">
        <v>2</v>
      </c>
      <c r="CW1102">
        <v>0</v>
      </c>
      <c r="CX1102">
        <v>4</v>
      </c>
      <c r="CY1102">
        <v>7</v>
      </c>
      <c r="CZ1102" t="s">
        <v>131</v>
      </c>
      <c r="DA1102">
        <v>116</v>
      </c>
      <c r="DB1102">
        <v>3</v>
      </c>
      <c r="DC1102" t="s">
        <v>132</v>
      </c>
      <c r="DD1102" t="s">
        <v>133</v>
      </c>
      <c r="DG1102">
        <v>8456032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1</v>
      </c>
      <c r="DQ1102">
        <v>0</v>
      </c>
      <c r="DR1102">
        <v>0</v>
      </c>
      <c r="DS1102">
        <v>0</v>
      </c>
    </row>
    <row r="1103" spans="1:123" x14ac:dyDescent="0.25">
      <c r="A1103" t="str">
        <f>"11/29/2023 20:27:19.368"</f>
        <v>11/29/2023 20:27:19.368</v>
      </c>
      <c r="C1103" t="str">
        <f t="shared" si="123"/>
        <v>FFDF53C0</v>
      </c>
      <c r="D1103" t="s">
        <v>164</v>
      </c>
      <c r="E1103">
        <v>24</v>
      </c>
      <c r="F1103">
        <v>2024</v>
      </c>
      <c r="G1103" t="s">
        <v>165</v>
      </c>
      <c r="J1103" t="s">
        <v>166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>"20:27:19.063"</f>
        <v>20:27:19.063</v>
      </c>
      <c r="U1103" t="str">
        <f t="shared" si="126"/>
        <v>AA0632</v>
      </c>
      <c r="V1103">
        <v>0</v>
      </c>
      <c r="W1103">
        <v>0</v>
      </c>
      <c r="X1103">
        <v>2</v>
      </c>
      <c r="Y1103">
        <v>0</v>
      </c>
      <c r="AA1103">
        <v>0</v>
      </c>
      <c r="AB1103">
        <v>9</v>
      </c>
      <c r="AC1103">
        <v>3</v>
      </c>
      <c r="AD1103">
        <v>0</v>
      </c>
      <c r="AE1103">
        <v>10</v>
      </c>
      <c r="AF1103" t="s">
        <v>126</v>
      </c>
      <c r="AG1103">
        <v>0</v>
      </c>
      <c r="AH1103">
        <v>0</v>
      </c>
      <c r="AI1103">
        <v>2</v>
      </c>
      <c r="AJ1103">
        <v>0</v>
      </c>
      <c r="AK1103" t="s">
        <v>662</v>
      </c>
      <c r="AL1103">
        <v>31.922063999999999</v>
      </c>
      <c r="AM1103" t="s">
        <v>663</v>
      </c>
      <c r="AN1103">
        <v>-100.970664</v>
      </c>
      <c r="AQ1103" t="s">
        <v>129</v>
      </c>
      <c r="AT1103">
        <v>-192</v>
      </c>
      <c r="BB1103" t="str">
        <f t="shared" si="127"/>
        <v>1200</v>
      </c>
      <c r="BC1103">
        <v>1</v>
      </c>
      <c r="BD1103" t="str">
        <f t="shared" si="124"/>
        <v xml:space="preserve">N745MB  </v>
      </c>
      <c r="BE1103">
        <v>1</v>
      </c>
      <c r="BG1103">
        <v>0</v>
      </c>
      <c r="BH1103">
        <v>0</v>
      </c>
      <c r="BI1103">
        <v>0</v>
      </c>
      <c r="BL1103" t="s">
        <v>130</v>
      </c>
      <c r="BM1103">
        <v>1</v>
      </c>
      <c r="BN1103">
        <v>0</v>
      </c>
      <c r="BO1103">
        <v>0</v>
      </c>
      <c r="BP1103">
        <v>0</v>
      </c>
      <c r="BT1103">
        <v>0</v>
      </c>
      <c r="BU1103">
        <v>0</v>
      </c>
      <c r="CE1103" t="str">
        <f>"20:27:19.065"</f>
        <v>20:27:19.065</v>
      </c>
      <c r="CF1103">
        <v>64933632</v>
      </c>
      <c r="CS1103">
        <v>0</v>
      </c>
      <c r="CT1103">
        <v>2</v>
      </c>
      <c r="CU1103">
        <v>0</v>
      </c>
      <c r="CV1103">
        <v>2</v>
      </c>
      <c r="CW1103">
        <v>0</v>
      </c>
      <c r="CX1103">
        <v>2</v>
      </c>
      <c r="CY1103">
        <v>7</v>
      </c>
      <c r="CZ1103" t="s">
        <v>131</v>
      </c>
      <c r="DA1103">
        <v>483</v>
      </c>
      <c r="DB1103">
        <v>1</v>
      </c>
      <c r="DC1103" t="s">
        <v>169</v>
      </c>
      <c r="DD1103" t="s">
        <v>170</v>
      </c>
      <c r="DG1103">
        <v>7387895</v>
      </c>
      <c r="DI1103">
        <v>0</v>
      </c>
      <c r="DJ1103">
        <v>0</v>
      </c>
      <c r="DK1103">
        <v>1</v>
      </c>
      <c r="DL1103">
        <v>0</v>
      </c>
      <c r="DM1103">
        <v>0</v>
      </c>
      <c r="DN1103">
        <v>0</v>
      </c>
      <c r="DO1103">
        <v>0</v>
      </c>
      <c r="DP1103">
        <v>1</v>
      </c>
      <c r="DQ1103">
        <v>0</v>
      </c>
      <c r="DR1103">
        <v>0</v>
      </c>
      <c r="DS1103">
        <v>0</v>
      </c>
    </row>
    <row r="1104" spans="1:123" x14ac:dyDescent="0.25">
      <c r="A1104" t="str">
        <f>"11/29/2023 20:27:19.368"</f>
        <v>11/29/2023 20:27:19.368</v>
      </c>
      <c r="C1104" t="str">
        <f t="shared" ref="C1104:C1167" si="128">"FFDF53C0"</f>
        <v>FFDF53C0</v>
      </c>
      <c r="D1104" t="s">
        <v>123</v>
      </c>
      <c r="E1104">
        <v>14</v>
      </c>
      <c r="F1104">
        <v>1014</v>
      </c>
      <c r="G1104" t="s">
        <v>124</v>
      </c>
      <c r="J1104" t="s">
        <v>125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>"20:27:19.063"</f>
        <v>20:27:19.063</v>
      </c>
      <c r="T1104" t="str">
        <f>"20:27:18.762"</f>
        <v>20:27:18.762</v>
      </c>
      <c r="U1104" t="str">
        <f t="shared" si="126"/>
        <v>AA0632</v>
      </c>
      <c r="V1104">
        <v>0</v>
      </c>
      <c r="W1104">
        <v>0</v>
      </c>
      <c r="X1104">
        <v>2</v>
      </c>
      <c r="Y1104">
        <v>0</v>
      </c>
      <c r="AA1104">
        <v>0</v>
      </c>
      <c r="AB1104">
        <v>9</v>
      </c>
      <c r="AC1104">
        <v>3</v>
      </c>
      <c r="AD1104">
        <v>0</v>
      </c>
      <c r="AE1104">
        <v>10</v>
      </c>
      <c r="AF1104" t="s">
        <v>126</v>
      </c>
      <c r="AG1104">
        <v>0</v>
      </c>
      <c r="AH1104">
        <v>0</v>
      </c>
      <c r="AI1104">
        <v>2</v>
      </c>
      <c r="AJ1104">
        <v>0</v>
      </c>
      <c r="AK1104" t="s">
        <v>662</v>
      </c>
      <c r="AL1104">
        <v>31.922063999999999</v>
      </c>
      <c r="AM1104" t="s">
        <v>663</v>
      </c>
      <c r="AN1104">
        <v>-100.970664</v>
      </c>
      <c r="AQ1104" t="s">
        <v>129</v>
      </c>
      <c r="AR1104">
        <v>23</v>
      </c>
      <c r="AS1104">
        <v>17</v>
      </c>
      <c r="AT1104">
        <v>-320</v>
      </c>
      <c r="BB1104" t="str">
        <f t="shared" si="127"/>
        <v>1200</v>
      </c>
      <c r="BC1104">
        <v>1</v>
      </c>
      <c r="BD1104" t="str">
        <f t="shared" ref="BD1104:BD1167" si="129">"N745MB  "</f>
        <v xml:space="preserve">N745MB  </v>
      </c>
      <c r="BE1104">
        <v>1</v>
      </c>
      <c r="BG1104">
        <v>0</v>
      </c>
      <c r="BH1104">
        <v>0</v>
      </c>
      <c r="BI1104">
        <v>0</v>
      </c>
      <c r="BL1104" t="s">
        <v>130</v>
      </c>
      <c r="BM1104">
        <v>1</v>
      </c>
      <c r="BN1104">
        <v>0</v>
      </c>
      <c r="BO1104">
        <v>0</v>
      </c>
      <c r="BP1104">
        <v>0</v>
      </c>
      <c r="BT1104">
        <v>0</v>
      </c>
      <c r="BU1104">
        <v>0</v>
      </c>
      <c r="CE1104" t="str">
        <f>"20:27:19.065"</f>
        <v>20:27:19.065</v>
      </c>
      <c r="CF1104">
        <v>64929841</v>
      </c>
      <c r="CS1104">
        <v>0</v>
      </c>
      <c r="CT1104">
        <v>2</v>
      </c>
      <c r="CU1104">
        <v>0</v>
      </c>
      <c r="CV1104">
        <v>2</v>
      </c>
      <c r="CW1104">
        <v>0</v>
      </c>
      <c r="CX1104">
        <v>4</v>
      </c>
      <c r="CY1104">
        <v>7</v>
      </c>
      <c r="CZ1104" t="s">
        <v>131</v>
      </c>
      <c r="DA1104">
        <v>116</v>
      </c>
      <c r="DB1104">
        <v>3</v>
      </c>
      <c r="DC1104" t="s">
        <v>132</v>
      </c>
      <c r="DD1104" t="s">
        <v>133</v>
      </c>
      <c r="DG1104">
        <v>8456032</v>
      </c>
      <c r="DI1104">
        <v>0</v>
      </c>
      <c r="DJ1104">
        <v>0</v>
      </c>
      <c r="DK1104">
        <v>1</v>
      </c>
      <c r="DL1104">
        <v>0</v>
      </c>
      <c r="DM1104">
        <v>0</v>
      </c>
      <c r="DN1104">
        <v>0</v>
      </c>
      <c r="DO1104">
        <v>0</v>
      </c>
      <c r="DP1104">
        <v>1</v>
      </c>
      <c r="DQ1104">
        <v>0</v>
      </c>
      <c r="DR1104">
        <v>0</v>
      </c>
      <c r="DS1104">
        <v>0</v>
      </c>
    </row>
    <row r="1105" spans="1:123" x14ac:dyDescent="0.25">
      <c r="A1105" t="str">
        <f>"11/29/2023 20:27:19.368"</f>
        <v>11/29/2023 20:27:19.368</v>
      </c>
      <c r="C1105" t="str">
        <f t="shared" si="128"/>
        <v>FFDF53C0</v>
      </c>
      <c r="D1105" t="s">
        <v>135</v>
      </c>
      <c r="E1105">
        <v>31</v>
      </c>
      <c r="H1105">
        <v>285</v>
      </c>
      <c r="I1105" t="s">
        <v>136</v>
      </c>
      <c r="J1105" t="s">
        <v>137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>"20:27:19.063"</f>
        <v>20:27:19.063</v>
      </c>
      <c r="T1105" t="str">
        <f>"20:27:18.762"</f>
        <v>20:27:18.762</v>
      </c>
      <c r="U1105" t="str">
        <f t="shared" si="126"/>
        <v>AA0632</v>
      </c>
      <c r="V1105">
        <v>0</v>
      </c>
      <c r="W1105">
        <v>0</v>
      </c>
      <c r="X1105">
        <v>2</v>
      </c>
      <c r="Y1105">
        <v>0</v>
      </c>
      <c r="AA1105">
        <v>0</v>
      </c>
      <c r="AB1105">
        <v>9</v>
      </c>
      <c r="AC1105">
        <v>3</v>
      </c>
      <c r="AD1105">
        <v>0</v>
      </c>
      <c r="AE1105">
        <v>10</v>
      </c>
      <c r="AF1105" t="s">
        <v>126</v>
      </c>
      <c r="AG1105">
        <v>0</v>
      </c>
      <c r="AH1105">
        <v>0</v>
      </c>
      <c r="AI1105">
        <v>2</v>
      </c>
      <c r="AJ1105">
        <v>0</v>
      </c>
      <c r="AK1105" t="s">
        <v>662</v>
      </c>
      <c r="AL1105">
        <v>31.922063999999999</v>
      </c>
      <c r="AM1105" t="s">
        <v>663</v>
      </c>
      <c r="AN1105">
        <v>-100.970664</v>
      </c>
      <c r="AQ1105" t="s">
        <v>129</v>
      </c>
      <c r="AR1105">
        <v>23</v>
      </c>
      <c r="AS1105">
        <v>17</v>
      </c>
      <c r="AT1105">
        <v>-320</v>
      </c>
      <c r="BB1105" t="str">
        <f t="shared" si="127"/>
        <v>1200</v>
      </c>
      <c r="BC1105">
        <v>1</v>
      </c>
      <c r="BD1105" t="str">
        <f t="shared" si="129"/>
        <v xml:space="preserve">N745MB  </v>
      </c>
      <c r="BE1105">
        <v>1</v>
      </c>
      <c r="BG1105">
        <v>0</v>
      </c>
      <c r="BH1105">
        <v>0</v>
      </c>
      <c r="BI1105">
        <v>0</v>
      </c>
      <c r="BL1105" t="s">
        <v>130</v>
      </c>
      <c r="BM1105">
        <v>1</v>
      </c>
      <c r="BN1105">
        <v>0</v>
      </c>
      <c r="BO1105">
        <v>0</v>
      </c>
      <c r="BP1105">
        <v>0</v>
      </c>
      <c r="BT1105">
        <v>0</v>
      </c>
      <c r="BU1105">
        <v>0</v>
      </c>
      <c r="CE1105" t="str">
        <f>"20:27:19.065"</f>
        <v>20:27:19.065</v>
      </c>
      <c r="CF1105">
        <v>64929841</v>
      </c>
      <c r="CS1105">
        <v>0</v>
      </c>
      <c r="CT1105">
        <v>2</v>
      </c>
      <c r="CU1105">
        <v>0</v>
      </c>
      <c r="CV1105">
        <v>2</v>
      </c>
      <c r="CW1105">
        <v>0</v>
      </c>
      <c r="CX1105">
        <v>4</v>
      </c>
      <c r="CY1105">
        <v>7</v>
      </c>
      <c r="CZ1105" t="s">
        <v>131</v>
      </c>
      <c r="DA1105">
        <v>116</v>
      </c>
      <c r="DB1105">
        <v>3</v>
      </c>
      <c r="DC1105" t="s">
        <v>132</v>
      </c>
      <c r="DD1105" t="s">
        <v>133</v>
      </c>
      <c r="DG1105">
        <v>8456032</v>
      </c>
      <c r="DI1105">
        <v>0</v>
      </c>
      <c r="DJ1105">
        <v>0</v>
      </c>
      <c r="DK1105">
        <v>1</v>
      </c>
      <c r="DL1105">
        <v>0</v>
      </c>
      <c r="DM1105">
        <v>0</v>
      </c>
      <c r="DN1105">
        <v>0</v>
      </c>
      <c r="DO1105">
        <v>0</v>
      </c>
      <c r="DP1105">
        <v>1</v>
      </c>
      <c r="DQ1105">
        <v>0</v>
      </c>
      <c r="DR1105">
        <v>0</v>
      </c>
      <c r="DS1105">
        <v>0</v>
      </c>
    </row>
    <row r="1106" spans="1:123" x14ac:dyDescent="0.25">
      <c r="A1106" t="str">
        <f>"11/29/2023 20:27:19.368"</f>
        <v>11/29/2023 20:27:19.368</v>
      </c>
      <c r="C1106" t="str">
        <f t="shared" si="128"/>
        <v>FFDF53C0</v>
      </c>
      <c r="D1106" t="s">
        <v>123</v>
      </c>
      <c r="E1106">
        <v>1</v>
      </c>
      <c r="F1106">
        <v>1001</v>
      </c>
      <c r="G1106" t="s">
        <v>134</v>
      </c>
      <c r="J1106" t="s">
        <v>125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>"20:27:19.063"</f>
        <v>20:27:19.063</v>
      </c>
      <c r="T1106" t="str">
        <f>"20:27:18.762"</f>
        <v>20:27:18.762</v>
      </c>
      <c r="U1106" t="str">
        <f t="shared" si="126"/>
        <v>AA0632</v>
      </c>
      <c r="V1106">
        <v>0</v>
      </c>
      <c r="W1106">
        <v>0</v>
      </c>
      <c r="X1106">
        <v>2</v>
      </c>
      <c r="Y1106">
        <v>0</v>
      </c>
      <c r="AA1106">
        <v>0</v>
      </c>
      <c r="AB1106">
        <v>9</v>
      </c>
      <c r="AC1106">
        <v>3</v>
      </c>
      <c r="AD1106">
        <v>0</v>
      </c>
      <c r="AE1106">
        <v>10</v>
      </c>
      <c r="AF1106" t="s">
        <v>126</v>
      </c>
      <c r="AG1106">
        <v>0</v>
      </c>
      <c r="AH1106">
        <v>0</v>
      </c>
      <c r="AI1106">
        <v>2</v>
      </c>
      <c r="AJ1106">
        <v>0</v>
      </c>
      <c r="AK1106" t="s">
        <v>662</v>
      </c>
      <c r="AL1106">
        <v>31.922063999999999</v>
      </c>
      <c r="AM1106" t="s">
        <v>663</v>
      </c>
      <c r="AN1106">
        <v>-100.970664</v>
      </c>
      <c r="AQ1106" t="s">
        <v>129</v>
      </c>
      <c r="AR1106">
        <v>23</v>
      </c>
      <c r="AS1106">
        <v>17</v>
      </c>
      <c r="AT1106">
        <v>-320</v>
      </c>
      <c r="BB1106" t="str">
        <f t="shared" si="127"/>
        <v>1200</v>
      </c>
      <c r="BC1106">
        <v>1</v>
      </c>
      <c r="BD1106" t="str">
        <f t="shared" si="129"/>
        <v xml:space="preserve">N745MB  </v>
      </c>
      <c r="BE1106">
        <v>1</v>
      </c>
      <c r="BG1106">
        <v>0</v>
      </c>
      <c r="BH1106">
        <v>0</v>
      </c>
      <c r="BI1106">
        <v>0</v>
      </c>
      <c r="BL1106" t="s">
        <v>130</v>
      </c>
      <c r="BM1106">
        <v>1</v>
      </c>
      <c r="BN1106">
        <v>0</v>
      </c>
      <c r="BO1106">
        <v>0</v>
      </c>
      <c r="BP1106">
        <v>0</v>
      </c>
      <c r="BT1106">
        <v>0</v>
      </c>
      <c r="BU1106">
        <v>0</v>
      </c>
      <c r="CE1106" t="str">
        <f>"20:27:19.065"</f>
        <v>20:27:19.065</v>
      </c>
      <c r="CF1106">
        <v>64929841</v>
      </c>
      <c r="CS1106">
        <v>0</v>
      </c>
      <c r="CT1106">
        <v>2</v>
      </c>
      <c r="CU1106">
        <v>0</v>
      </c>
      <c r="CV1106">
        <v>2</v>
      </c>
      <c r="CW1106">
        <v>0</v>
      </c>
      <c r="CX1106">
        <v>4</v>
      </c>
      <c r="CY1106">
        <v>7</v>
      </c>
      <c r="CZ1106" t="s">
        <v>131</v>
      </c>
      <c r="DA1106">
        <v>116</v>
      </c>
      <c r="DB1106">
        <v>3</v>
      </c>
      <c r="DC1106" t="s">
        <v>132</v>
      </c>
      <c r="DD1106" t="s">
        <v>133</v>
      </c>
      <c r="DG1106">
        <v>8456032</v>
      </c>
      <c r="DI1106">
        <v>0</v>
      </c>
      <c r="DJ1106">
        <v>0</v>
      </c>
      <c r="DK1106">
        <v>1</v>
      </c>
      <c r="DL1106">
        <v>0</v>
      </c>
      <c r="DM1106">
        <v>0</v>
      </c>
      <c r="DN1106">
        <v>0</v>
      </c>
      <c r="DO1106">
        <v>0</v>
      </c>
      <c r="DP1106">
        <v>1</v>
      </c>
      <c r="DQ1106">
        <v>0</v>
      </c>
      <c r="DR1106">
        <v>0</v>
      </c>
      <c r="DS1106">
        <v>0</v>
      </c>
    </row>
    <row r="1107" spans="1:123" x14ac:dyDescent="0.25">
      <c r="A1107" t="str">
        <f>"11/29/2023 20:27:20.087"</f>
        <v>11/29/2023 20:27:20.087</v>
      </c>
      <c r="C1107" t="str">
        <f t="shared" si="128"/>
        <v>FFDF53C0</v>
      </c>
      <c r="D1107" t="s">
        <v>123</v>
      </c>
      <c r="E1107">
        <v>14</v>
      </c>
      <c r="F1107">
        <v>1014</v>
      </c>
      <c r="G1107" t="s">
        <v>124</v>
      </c>
      <c r="J1107" t="s">
        <v>125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>"20:27:19.508"</f>
        <v>20:27:19.508</v>
      </c>
      <c r="U1107" t="str">
        <f t="shared" si="126"/>
        <v>AA0632</v>
      </c>
      <c r="V1107">
        <v>0</v>
      </c>
      <c r="W1107">
        <v>0</v>
      </c>
      <c r="X1107">
        <v>2</v>
      </c>
      <c r="Y1107">
        <v>0</v>
      </c>
      <c r="AA1107">
        <v>0</v>
      </c>
      <c r="AB1107">
        <v>9</v>
      </c>
      <c r="AC1107">
        <v>3</v>
      </c>
      <c r="AD1107">
        <v>0</v>
      </c>
      <c r="AE1107">
        <v>10</v>
      </c>
      <c r="AF1107" t="s">
        <v>126</v>
      </c>
      <c r="AG1107">
        <v>0</v>
      </c>
      <c r="AH1107">
        <v>0</v>
      </c>
      <c r="AI1107">
        <v>2</v>
      </c>
      <c r="AJ1107">
        <v>0</v>
      </c>
      <c r="AK1107" t="s">
        <v>664</v>
      </c>
      <c r="AL1107">
        <v>31.922128000000001</v>
      </c>
      <c r="AM1107" t="s">
        <v>665</v>
      </c>
      <c r="AN1107">
        <v>-100.970578</v>
      </c>
      <c r="AQ1107" t="s">
        <v>129</v>
      </c>
      <c r="AT1107">
        <v>-192</v>
      </c>
      <c r="BB1107" t="str">
        <f t="shared" si="127"/>
        <v>1200</v>
      </c>
      <c r="BC1107">
        <v>1</v>
      </c>
      <c r="BD1107" t="str">
        <f t="shared" si="129"/>
        <v xml:space="preserve">N745MB  </v>
      </c>
      <c r="BE1107">
        <v>1</v>
      </c>
      <c r="BG1107">
        <v>0</v>
      </c>
      <c r="BH1107">
        <v>0</v>
      </c>
      <c r="BI1107">
        <v>0</v>
      </c>
      <c r="BL1107" t="s">
        <v>130</v>
      </c>
      <c r="BM1107">
        <v>1</v>
      </c>
      <c r="BN1107">
        <v>0</v>
      </c>
      <c r="BO1107">
        <v>0</v>
      </c>
      <c r="BP1107">
        <v>0</v>
      </c>
      <c r="BT1107">
        <v>0</v>
      </c>
      <c r="BU1107">
        <v>0</v>
      </c>
      <c r="CE1107" t="str">
        <f>"20:27:19.511"</f>
        <v>20:27:19.511</v>
      </c>
      <c r="CF1107">
        <v>510901701</v>
      </c>
      <c r="CS1107">
        <v>0</v>
      </c>
      <c r="CT1107">
        <v>2</v>
      </c>
      <c r="CU1107">
        <v>0</v>
      </c>
      <c r="CV1107">
        <v>2</v>
      </c>
      <c r="CW1107">
        <v>0</v>
      </c>
      <c r="CX1107">
        <v>2</v>
      </c>
      <c r="CY1107">
        <v>7</v>
      </c>
      <c r="CZ1107" t="s">
        <v>131</v>
      </c>
      <c r="DA1107">
        <v>483</v>
      </c>
      <c r="DB1107">
        <v>1</v>
      </c>
      <c r="DC1107" t="s">
        <v>169</v>
      </c>
      <c r="DD1107" t="s">
        <v>170</v>
      </c>
      <c r="DG1107">
        <v>7387947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1</v>
      </c>
      <c r="DQ1107">
        <v>0</v>
      </c>
      <c r="DR1107">
        <v>0</v>
      </c>
      <c r="DS1107">
        <v>0</v>
      </c>
    </row>
    <row r="1108" spans="1:123" x14ac:dyDescent="0.25">
      <c r="A1108" t="str">
        <f>"11/29/2023 20:27:20.087"</f>
        <v>11/29/2023 20:27:20.087</v>
      </c>
      <c r="C1108" t="str">
        <f t="shared" si="128"/>
        <v>FFDF53C0</v>
      </c>
      <c r="D1108" t="s">
        <v>164</v>
      </c>
      <c r="E1108">
        <v>24</v>
      </c>
      <c r="F1108">
        <v>2024</v>
      </c>
      <c r="G1108" t="s">
        <v>165</v>
      </c>
      <c r="J1108" t="s">
        <v>166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>"20:27:19.508"</f>
        <v>20:27:19.508</v>
      </c>
      <c r="U1108" t="str">
        <f t="shared" si="126"/>
        <v>AA0632</v>
      </c>
      <c r="V1108">
        <v>0</v>
      </c>
      <c r="W1108">
        <v>0</v>
      </c>
      <c r="X1108">
        <v>2</v>
      </c>
      <c r="Y1108">
        <v>0</v>
      </c>
      <c r="AA1108">
        <v>0</v>
      </c>
      <c r="AB1108">
        <v>9</v>
      </c>
      <c r="AC1108">
        <v>3</v>
      </c>
      <c r="AD1108">
        <v>0</v>
      </c>
      <c r="AE1108">
        <v>10</v>
      </c>
      <c r="AF1108" t="s">
        <v>126</v>
      </c>
      <c r="AG1108">
        <v>0</v>
      </c>
      <c r="AH1108">
        <v>0</v>
      </c>
      <c r="AI1108">
        <v>2</v>
      </c>
      <c r="AJ1108">
        <v>0</v>
      </c>
      <c r="AK1108" t="s">
        <v>664</v>
      </c>
      <c r="AL1108">
        <v>31.922128000000001</v>
      </c>
      <c r="AM1108" t="s">
        <v>665</v>
      </c>
      <c r="AN1108">
        <v>-100.970578</v>
      </c>
      <c r="AQ1108" t="s">
        <v>129</v>
      </c>
      <c r="AT1108">
        <v>-192</v>
      </c>
      <c r="BB1108" t="str">
        <f t="shared" si="127"/>
        <v>1200</v>
      </c>
      <c r="BC1108">
        <v>1</v>
      </c>
      <c r="BD1108" t="str">
        <f t="shared" si="129"/>
        <v xml:space="preserve">N745MB  </v>
      </c>
      <c r="BE1108">
        <v>1</v>
      </c>
      <c r="BG1108">
        <v>0</v>
      </c>
      <c r="BH1108">
        <v>0</v>
      </c>
      <c r="BI1108">
        <v>0</v>
      </c>
      <c r="BL1108" t="s">
        <v>130</v>
      </c>
      <c r="BM1108">
        <v>1</v>
      </c>
      <c r="BN1108">
        <v>0</v>
      </c>
      <c r="BO1108">
        <v>0</v>
      </c>
      <c r="BP1108">
        <v>0</v>
      </c>
      <c r="BT1108">
        <v>0</v>
      </c>
      <c r="BU1108">
        <v>0</v>
      </c>
      <c r="CE1108" t="str">
        <f>"20:27:19.511"</f>
        <v>20:27:19.511</v>
      </c>
      <c r="CF1108">
        <v>510901701</v>
      </c>
      <c r="CS1108">
        <v>0</v>
      </c>
      <c r="CT1108">
        <v>2</v>
      </c>
      <c r="CU1108">
        <v>0</v>
      </c>
      <c r="CV1108">
        <v>2</v>
      </c>
      <c r="CW1108">
        <v>0</v>
      </c>
      <c r="CX1108">
        <v>2</v>
      </c>
      <c r="CY1108">
        <v>7</v>
      </c>
      <c r="CZ1108" t="s">
        <v>131</v>
      </c>
      <c r="DA1108">
        <v>483</v>
      </c>
      <c r="DB1108">
        <v>1</v>
      </c>
      <c r="DC1108" t="s">
        <v>169</v>
      </c>
      <c r="DD1108" t="s">
        <v>170</v>
      </c>
      <c r="DG1108">
        <v>7387947</v>
      </c>
      <c r="DI1108">
        <v>0</v>
      </c>
      <c r="DJ1108">
        <v>0</v>
      </c>
      <c r="DK1108">
        <v>1</v>
      </c>
      <c r="DL1108">
        <v>0</v>
      </c>
      <c r="DM1108">
        <v>0</v>
      </c>
      <c r="DN1108">
        <v>0</v>
      </c>
      <c r="DO1108">
        <v>0</v>
      </c>
      <c r="DP1108">
        <v>1</v>
      </c>
      <c r="DQ1108">
        <v>0</v>
      </c>
      <c r="DR1108">
        <v>0</v>
      </c>
      <c r="DS1108">
        <v>0</v>
      </c>
    </row>
    <row r="1109" spans="1:123" x14ac:dyDescent="0.25">
      <c r="A1109" t="str">
        <f>"11/29/2023 20:27:20.118"</f>
        <v>11/29/2023 20:27:20.118</v>
      </c>
      <c r="C1109" t="str">
        <f t="shared" si="128"/>
        <v>FFDF53C0</v>
      </c>
      <c r="D1109" t="s">
        <v>138</v>
      </c>
      <c r="E1109">
        <v>3</v>
      </c>
      <c r="H1109">
        <v>160</v>
      </c>
      <c r="I1109" t="s">
        <v>124</v>
      </c>
      <c r="J1109" t="s">
        <v>139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>"20:27:19.508"</f>
        <v>20:27:19.508</v>
      </c>
      <c r="U1109" t="str">
        <f t="shared" si="126"/>
        <v>AA0632</v>
      </c>
      <c r="V1109">
        <v>0</v>
      </c>
      <c r="W1109">
        <v>0</v>
      </c>
      <c r="X1109">
        <v>2</v>
      </c>
      <c r="Y1109">
        <v>0</v>
      </c>
      <c r="AA1109">
        <v>0</v>
      </c>
      <c r="AB1109">
        <v>9</v>
      </c>
      <c r="AC1109">
        <v>3</v>
      </c>
      <c r="AD1109">
        <v>0</v>
      </c>
      <c r="AE1109">
        <v>10</v>
      </c>
      <c r="AF1109" t="s">
        <v>126</v>
      </c>
      <c r="AG1109">
        <v>0</v>
      </c>
      <c r="AH1109">
        <v>0</v>
      </c>
      <c r="AI1109">
        <v>2</v>
      </c>
      <c r="AJ1109">
        <v>0</v>
      </c>
      <c r="AK1109" t="s">
        <v>664</v>
      </c>
      <c r="AL1109">
        <v>31.922128000000001</v>
      </c>
      <c r="AM1109" t="s">
        <v>665</v>
      </c>
      <c r="AN1109">
        <v>-100.970578</v>
      </c>
      <c r="AQ1109" t="s">
        <v>129</v>
      </c>
      <c r="AT1109">
        <v>-192</v>
      </c>
      <c r="BB1109" t="str">
        <f t="shared" si="127"/>
        <v>1200</v>
      </c>
      <c r="BC1109">
        <v>1</v>
      </c>
      <c r="BD1109" t="str">
        <f t="shared" si="129"/>
        <v xml:space="preserve">N745MB  </v>
      </c>
      <c r="BE1109">
        <v>1</v>
      </c>
      <c r="BG1109">
        <v>0</v>
      </c>
      <c r="BH1109">
        <v>0</v>
      </c>
      <c r="BI1109">
        <v>0</v>
      </c>
      <c r="BL1109" t="s">
        <v>130</v>
      </c>
      <c r="BM1109">
        <v>1</v>
      </c>
      <c r="BN1109">
        <v>0</v>
      </c>
      <c r="BO1109">
        <v>0</v>
      </c>
      <c r="BP1109">
        <v>0</v>
      </c>
      <c r="BT1109">
        <v>0</v>
      </c>
      <c r="BU1109">
        <v>0</v>
      </c>
      <c r="CE1109" t="str">
        <f>"20:27:19.511"</f>
        <v>20:27:19.511</v>
      </c>
      <c r="CF1109">
        <v>510901701</v>
      </c>
      <c r="CS1109">
        <v>0</v>
      </c>
      <c r="CT1109">
        <v>2</v>
      </c>
      <c r="CU1109">
        <v>0</v>
      </c>
      <c r="CV1109">
        <v>2</v>
      </c>
      <c r="CW1109">
        <v>0</v>
      </c>
      <c r="CX1109">
        <v>2</v>
      </c>
      <c r="CY1109">
        <v>7</v>
      </c>
      <c r="CZ1109" t="s">
        <v>131</v>
      </c>
      <c r="DA1109">
        <v>483</v>
      </c>
      <c r="DB1109">
        <v>1</v>
      </c>
      <c r="DC1109" t="s">
        <v>169</v>
      </c>
      <c r="DD1109" t="s">
        <v>170</v>
      </c>
      <c r="DG1109">
        <v>7387947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1</v>
      </c>
      <c r="DQ1109">
        <v>0</v>
      </c>
      <c r="DR1109">
        <v>0</v>
      </c>
      <c r="DS1109">
        <v>0</v>
      </c>
    </row>
    <row r="1110" spans="1:123" x14ac:dyDescent="0.25">
      <c r="A1110" t="str">
        <f>"11/29/2023 20:27:20.790"</f>
        <v>11/29/2023 20:27:20.790</v>
      </c>
      <c r="C1110" t="str">
        <f t="shared" si="128"/>
        <v>FFDF53C0</v>
      </c>
      <c r="D1110" t="s">
        <v>123</v>
      </c>
      <c r="E1110">
        <v>14</v>
      </c>
      <c r="F1110">
        <v>1014</v>
      </c>
      <c r="G1110" t="s">
        <v>124</v>
      </c>
      <c r="J1110" t="s">
        <v>125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>"20:27:20.492"</f>
        <v>20:27:20.492</v>
      </c>
      <c r="T1110" t="str">
        <f>"20:27:20.192"</f>
        <v>20:27:20.192</v>
      </c>
      <c r="U1110" t="str">
        <f t="shared" si="126"/>
        <v>AA0632</v>
      </c>
      <c r="V1110">
        <v>0</v>
      </c>
      <c r="W1110">
        <v>0</v>
      </c>
      <c r="X1110">
        <v>2</v>
      </c>
      <c r="Y1110">
        <v>0</v>
      </c>
      <c r="AA1110">
        <v>0</v>
      </c>
      <c r="AB1110">
        <v>9</v>
      </c>
      <c r="AC1110">
        <v>3</v>
      </c>
      <c r="AD1110">
        <v>0</v>
      </c>
      <c r="AE1110">
        <v>10</v>
      </c>
      <c r="AF1110" t="s">
        <v>126</v>
      </c>
      <c r="AG1110">
        <v>0</v>
      </c>
      <c r="AH1110">
        <v>0</v>
      </c>
      <c r="AI1110">
        <v>2</v>
      </c>
      <c r="AJ1110">
        <v>0</v>
      </c>
      <c r="AK1110" t="s">
        <v>666</v>
      </c>
      <c r="AL1110">
        <v>31.922170999999999</v>
      </c>
      <c r="AM1110" t="s">
        <v>667</v>
      </c>
      <c r="AN1110">
        <v>-100.970471</v>
      </c>
      <c r="AQ1110" t="s">
        <v>129</v>
      </c>
      <c r="AR1110">
        <v>22</v>
      </c>
      <c r="AS1110">
        <v>15</v>
      </c>
      <c r="AT1110">
        <v>-384</v>
      </c>
      <c r="BB1110" t="str">
        <f t="shared" si="127"/>
        <v>1200</v>
      </c>
      <c r="BC1110">
        <v>1</v>
      </c>
      <c r="BD1110" t="str">
        <f t="shared" si="129"/>
        <v xml:space="preserve">N745MB  </v>
      </c>
      <c r="BE1110">
        <v>1</v>
      </c>
      <c r="BG1110">
        <v>0</v>
      </c>
      <c r="BH1110">
        <v>0</v>
      </c>
      <c r="BI1110">
        <v>0</v>
      </c>
      <c r="BL1110" t="s">
        <v>130</v>
      </c>
      <c r="BM1110">
        <v>1</v>
      </c>
      <c r="BN1110">
        <v>0</v>
      </c>
      <c r="BO1110">
        <v>0</v>
      </c>
      <c r="BP1110">
        <v>0</v>
      </c>
      <c r="BT1110">
        <v>0</v>
      </c>
      <c r="BU1110">
        <v>0</v>
      </c>
      <c r="CE1110" t="str">
        <f>"20:27:20.495"</f>
        <v>20:27:20.495</v>
      </c>
      <c r="CF1110">
        <v>494833076</v>
      </c>
      <c r="CS1110">
        <v>0</v>
      </c>
      <c r="CT1110">
        <v>2</v>
      </c>
      <c r="CU1110">
        <v>0</v>
      </c>
      <c r="CV1110">
        <v>2</v>
      </c>
      <c r="CW1110">
        <v>0</v>
      </c>
      <c r="CX1110">
        <v>4</v>
      </c>
      <c r="CY1110">
        <v>7</v>
      </c>
      <c r="CZ1110" t="s">
        <v>131</v>
      </c>
      <c r="DA1110">
        <v>116</v>
      </c>
      <c r="DB1110">
        <v>3</v>
      </c>
      <c r="DC1110" t="s">
        <v>132</v>
      </c>
      <c r="DD1110" t="s">
        <v>133</v>
      </c>
      <c r="DG1110">
        <v>8456761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1</v>
      </c>
      <c r="DQ1110">
        <v>0</v>
      </c>
      <c r="DR1110">
        <v>0</v>
      </c>
      <c r="DS1110">
        <v>0</v>
      </c>
    </row>
    <row r="1111" spans="1:123" x14ac:dyDescent="0.25">
      <c r="A1111" t="str">
        <f>"11/29/2023 20:27:20.806"</f>
        <v>11/29/2023 20:27:20.806</v>
      </c>
      <c r="C1111" t="str">
        <f t="shared" si="128"/>
        <v>FFDF53C0</v>
      </c>
      <c r="D1111" t="s">
        <v>135</v>
      </c>
      <c r="E1111">
        <v>31</v>
      </c>
      <c r="H1111">
        <v>285</v>
      </c>
      <c r="I1111" t="s">
        <v>136</v>
      </c>
      <c r="J1111" t="s">
        <v>137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>"20:27:20.492"</f>
        <v>20:27:20.492</v>
      </c>
      <c r="T1111" t="str">
        <f>"20:27:20.192"</f>
        <v>20:27:20.192</v>
      </c>
      <c r="U1111" t="str">
        <f t="shared" si="126"/>
        <v>AA0632</v>
      </c>
      <c r="V1111">
        <v>0</v>
      </c>
      <c r="W1111">
        <v>0</v>
      </c>
      <c r="X1111">
        <v>2</v>
      </c>
      <c r="Y1111">
        <v>0</v>
      </c>
      <c r="AA1111">
        <v>0</v>
      </c>
      <c r="AB1111">
        <v>9</v>
      </c>
      <c r="AC1111">
        <v>3</v>
      </c>
      <c r="AD1111">
        <v>0</v>
      </c>
      <c r="AE1111">
        <v>10</v>
      </c>
      <c r="AF1111" t="s">
        <v>126</v>
      </c>
      <c r="AG1111">
        <v>0</v>
      </c>
      <c r="AH1111">
        <v>0</v>
      </c>
      <c r="AI1111">
        <v>2</v>
      </c>
      <c r="AJ1111">
        <v>0</v>
      </c>
      <c r="AK1111" t="s">
        <v>666</v>
      </c>
      <c r="AL1111">
        <v>31.922170999999999</v>
      </c>
      <c r="AM1111" t="s">
        <v>667</v>
      </c>
      <c r="AN1111">
        <v>-100.970471</v>
      </c>
      <c r="AQ1111" t="s">
        <v>129</v>
      </c>
      <c r="AR1111">
        <v>22</v>
      </c>
      <c r="AS1111">
        <v>15</v>
      </c>
      <c r="AT1111">
        <v>-384</v>
      </c>
      <c r="BB1111" t="str">
        <f t="shared" si="127"/>
        <v>1200</v>
      </c>
      <c r="BC1111">
        <v>1</v>
      </c>
      <c r="BD1111" t="str">
        <f t="shared" si="129"/>
        <v xml:space="preserve">N745MB  </v>
      </c>
      <c r="BE1111">
        <v>1</v>
      </c>
      <c r="BG1111">
        <v>0</v>
      </c>
      <c r="BH1111">
        <v>0</v>
      </c>
      <c r="BI1111">
        <v>0</v>
      </c>
      <c r="BL1111" t="s">
        <v>130</v>
      </c>
      <c r="BM1111">
        <v>1</v>
      </c>
      <c r="BN1111">
        <v>0</v>
      </c>
      <c r="BO1111">
        <v>0</v>
      </c>
      <c r="BP1111">
        <v>0</v>
      </c>
      <c r="BT1111">
        <v>0</v>
      </c>
      <c r="BU1111">
        <v>0</v>
      </c>
      <c r="CE1111" t="str">
        <f>"20:27:20.495"</f>
        <v>20:27:20.495</v>
      </c>
      <c r="CF1111">
        <v>494833076</v>
      </c>
      <c r="CS1111">
        <v>0</v>
      </c>
      <c r="CT1111">
        <v>2</v>
      </c>
      <c r="CU1111">
        <v>0</v>
      </c>
      <c r="CV1111">
        <v>2</v>
      </c>
      <c r="CW1111">
        <v>0</v>
      </c>
      <c r="CX1111">
        <v>4</v>
      </c>
      <c r="CY1111">
        <v>7</v>
      </c>
      <c r="CZ1111" t="s">
        <v>131</v>
      </c>
      <c r="DA1111">
        <v>116</v>
      </c>
      <c r="DB1111">
        <v>3</v>
      </c>
      <c r="DC1111" t="s">
        <v>132</v>
      </c>
      <c r="DD1111" t="s">
        <v>133</v>
      </c>
      <c r="DG1111">
        <v>8456761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1</v>
      </c>
      <c r="DQ1111">
        <v>0</v>
      </c>
      <c r="DR1111">
        <v>0</v>
      </c>
      <c r="DS1111">
        <v>0</v>
      </c>
    </row>
    <row r="1112" spans="1:123" x14ac:dyDescent="0.25">
      <c r="A1112" t="str">
        <f>"11/29/2023 20:27:20.806"</f>
        <v>11/29/2023 20:27:20.806</v>
      </c>
      <c r="C1112" t="str">
        <f t="shared" si="128"/>
        <v>FFDF53C0</v>
      </c>
      <c r="D1112" t="s">
        <v>123</v>
      </c>
      <c r="E1112">
        <v>1</v>
      </c>
      <c r="F1112">
        <v>1001</v>
      </c>
      <c r="G1112" t="s">
        <v>134</v>
      </c>
      <c r="J1112" t="s">
        <v>125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>"20:27:20.492"</f>
        <v>20:27:20.492</v>
      </c>
      <c r="T1112" t="str">
        <f>"20:27:20.192"</f>
        <v>20:27:20.192</v>
      </c>
      <c r="U1112" t="str">
        <f t="shared" si="126"/>
        <v>AA0632</v>
      </c>
      <c r="V1112">
        <v>0</v>
      </c>
      <c r="W1112">
        <v>0</v>
      </c>
      <c r="X1112">
        <v>2</v>
      </c>
      <c r="Y1112">
        <v>0</v>
      </c>
      <c r="AA1112">
        <v>0</v>
      </c>
      <c r="AB1112">
        <v>9</v>
      </c>
      <c r="AC1112">
        <v>3</v>
      </c>
      <c r="AD1112">
        <v>0</v>
      </c>
      <c r="AE1112">
        <v>10</v>
      </c>
      <c r="AF1112" t="s">
        <v>126</v>
      </c>
      <c r="AG1112">
        <v>0</v>
      </c>
      <c r="AH1112">
        <v>0</v>
      </c>
      <c r="AI1112">
        <v>2</v>
      </c>
      <c r="AJ1112">
        <v>0</v>
      </c>
      <c r="AK1112" t="s">
        <v>666</v>
      </c>
      <c r="AL1112">
        <v>31.922170999999999</v>
      </c>
      <c r="AM1112" t="s">
        <v>667</v>
      </c>
      <c r="AN1112">
        <v>-100.970471</v>
      </c>
      <c r="AQ1112" t="s">
        <v>129</v>
      </c>
      <c r="AR1112">
        <v>22</v>
      </c>
      <c r="AS1112">
        <v>15</v>
      </c>
      <c r="AT1112">
        <v>-384</v>
      </c>
      <c r="BB1112" t="str">
        <f t="shared" si="127"/>
        <v>1200</v>
      </c>
      <c r="BC1112">
        <v>1</v>
      </c>
      <c r="BD1112" t="str">
        <f t="shared" si="129"/>
        <v xml:space="preserve">N745MB  </v>
      </c>
      <c r="BE1112">
        <v>1</v>
      </c>
      <c r="BG1112">
        <v>0</v>
      </c>
      <c r="BH1112">
        <v>0</v>
      </c>
      <c r="BI1112">
        <v>0</v>
      </c>
      <c r="BL1112" t="s">
        <v>130</v>
      </c>
      <c r="BM1112">
        <v>1</v>
      </c>
      <c r="BN1112">
        <v>0</v>
      </c>
      <c r="BO1112">
        <v>0</v>
      </c>
      <c r="BP1112">
        <v>0</v>
      </c>
      <c r="BT1112">
        <v>0</v>
      </c>
      <c r="BU1112">
        <v>0</v>
      </c>
      <c r="CE1112" t="str">
        <f>"20:27:20.495"</f>
        <v>20:27:20.495</v>
      </c>
      <c r="CF1112">
        <v>494833076</v>
      </c>
      <c r="CS1112">
        <v>0</v>
      </c>
      <c r="CT1112">
        <v>2</v>
      </c>
      <c r="CU1112">
        <v>0</v>
      </c>
      <c r="CV1112">
        <v>2</v>
      </c>
      <c r="CW1112">
        <v>0</v>
      </c>
      <c r="CX1112">
        <v>4</v>
      </c>
      <c r="CY1112">
        <v>7</v>
      </c>
      <c r="CZ1112" t="s">
        <v>131</v>
      </c>
      <c r="DA1112">
        <v>116</v>
      </c>
      <c r="DB1112">
        <v>3</v>
      </c>
      <c r="DC1112" t="s">
        <v>132</v>
      </c>
      <c r="DD1112" t="s">
        <v>133</v>
      </c>
      <c r="DG1112">
        <v>8456761</v>
      </c>
      <c r="DI1112">
        <v>0</v>
      </c>
      <c r="DJ1112">
        <v>0</v>
      </c>
      <c r="DK1112">
        <v>1</v>
      </c>
      <c r="DL1112">
        <v>0</v>
      </c>
      <c r="DM1112">
        <v>0</v>
      </c>
      <c r="DN1112">
        <v>0</v>
      </c>
      <c r="DO1112">
        <v>0</v>
      </c>
      <c r="DP1112">
        <v>1</v>
      </c>
      <c r="DQ1112">
        <v>0</v>
      </c>
      <c r="DR1112">
        <v>0</v>
      </c>
      <c r="DS1112">
        <v>0</v>
      </c>
    </row>
    <row r="1113" spans="1:123" x14ac:dyDescent="0.25">
      <c r="A1113" t="str">
        <f>"11/29/2023 20:27:20.806"</f>
        <v>11/29/2023 20:27:20.806</v>
      </c>
      <c r="C1113" t="str">
        <f t="shared" si="128"/>
        <v>FFDF53C0</v>
      </c>
      <c r="D1113" t="s">
        <v>138</v>
      </c>
      <c r="E1113">
        <v>3</v>
      </c>
      <c r="H1113">
        <v>160</v>
      </c>
      <c r="I1113" t="s">
        <v>124</v>
      </c>
      <c r="J1113" t="s">
        <v>139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>"20:27:20.492"</f>
        <v>20:27:20.492</v>
      </c>
      <c r="T1113" t="str">
        <f>"20:27:20.192"</f>
        <v>20:27:20.192</v>
      </c>
      <c r="U1113" t="str">
        <f t="shared" si="126"/>
        <v>AA0632</v>
      </c>
      <c r="V1113">
        <v>0</v>
      </c>
      <c r="W1113">
        <v>0</v>
      </c>
      <c r="X1113">
        <v>2</v>
      </c>
      <c r="Y1113">
        <v>0</v>
      </c>
      <c r="AA1113">
        <v>0</v>
      </c>
      <c r="AB1113">
        <v>9</v>
      </c>
      <c r="AC1113">
        <v>3</v>
      </c>
      <c r="AD1113">
        <v>0</v>
      </c>
      <c r="AE1113">
        <v>10</v>
      </c>
      <c r="AF1113" t="s">
        <v>126</v>
      </c>
      <c r="AG1113">
        <v>0</v>
      </c>
      <c r="AH1113">
        <v>0</v>
      </c>
      <c r="AI1113">
        <v>2</v>
      </c>
      <c r="AJ1113">
        <v>0</v>
      </c>
      <c r="AK1113" t="s">
        <v>666</v>
      </c>
      <c r="AL1113">
        <v>31.922170999999999</v>
      </c>
      <c r="AM1113" t="s">
        <v>667</v>
      </c>
      <c r="AN1113">
        <v>-100.970471</v>
      </c>
      <c r="AQ1113" t="s">
        <v>129</v>
      </c>
      <c r="AR1113">
        <v>22</v>
      </c>
      <c r="AS1113">
        <v>15</v>
      </c>
      <c r="AT1113">
        <v>-384</v>
      </c>
      <c r="BB1113" t="str">
        <f t="shared" si="127"/>
        <v>1200</v>
      </c>
      <c r="BC1113">
        <v>1</v>
      </c>
      <c r="BD1113" t="str">
        <f t="shared" si="129"/>
        <v xml:space="preserve">N745MB  </v>
      </c>
      <c r="BE1113">
        <v>1</v>
      </c>
      <c r="BG1113">
        <v>0</v>
      </c>
      <c r="BH1113">
        <v>0</v>
      </c>
      <c r="BI1113">
        <v>0</v>
      </c>
      <c r="BL1113" t="s">
        <v>130</v>
      </c>
      <c r="BM1113">
        <v>1</v>
      </c>
      <c r="BN1113">
        <v>0</v>
      </c>
      <c r="BO1113">
        <v>0</v>
      </c>
      <c r="BP1113">
        <v>0</v>
      </c>
      <c r="BT1113">
        <v>0</v>
      </c>
      <c r="BU1113">
        <v>0</v>
      </c>
      <c r="CE1113" t="str">
        <f>"20:27:20.495"</f>
        <v>20:27:20.495</v>
      </c>
      <c r="CF1113">
        <v>494833076</v>
      </c>
      <c r="CS1113">
        <v>0</v>
      </c>
      <c r="CT1113">
        <v>2</v>
      </c>
      <c r="CU1113">
        <v>0</v>
      </c>
      <c r="CV1113">
        <v>2</v>
      </c>
      <c r="CW1113">
        <v>0</v>
      </c>
      <c r="CX1113">
        <v>4</v>
      </c>
      <c r="CY1113">
        <v>7</v>
      </c>
      <c r="CZ1113" t="s">
        <v>131</v>
      </c>
      <c r="DA1113">
        <v>116</v>
      </c>
      <c r="DB1113">
        <v>3</v>
      </c>
      <c r="DC1113" t="s">
        <v>132</v>
      </c>
      <c r="DD1113" t="s">
        <v>133</v>
      </c>
      <c r="DG1113">
        <v>8456761</v>
      </c>
      <c r="DI1113">
        <v>0</v>
      </c>
      <c r="DJ1113">
        <v>0</v>
      </c>
      <c r="DK1113">
        <v>1</v>
      </c>
      <c r="DL1113">
        <v>0</v>
      </c>
      <c r="DM1113">
        <v>0</v>
      </c>
      <c r="DN1113">
        <v>0</v>
      </c>
      <c r="DO1113">
        <v>0</v>
      </c>
      <c r="DP1113">
        <v>1</v>
      </c>
      <c r="DQ1113">
        <v>0</v>
      </c>
      <c r="DR1113">
        <v>0</v>
      </c>
      <c r="DS1113">
        <v>0</v>
      </c>
    </row>
    <row r="1114" spans="1:123" x14ac:dyDescent="0.25">
      <c r="A1114" t="str">
        <f>"11/29/2023 20:27:21.587"</f>
        <v>11/29/2023 20:27:21.587</v>
      </c>
      <c r="C1114" t="str">
        <f t="shared" si="128"/>
        <v>FFDF53C0</v>
      </c>
      <c r="D1114" t="s">
        <v>164</v>
      </c>
      <c r="E1114">
        <v>24</v>
      </c>
      <c r="F1114">
        <v>2024</v>
      </c>
      <c r="G1114" t="s">
        <v>165</v>
      </c>
      <c r="J1114" t="s">
        <v>166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>"20:27:21.063"</f>
        <v>20:27:21.063</v>
      </c>
      <c r="T1114" t="str">
        <f>"20:27:19.762"</f>
        <v>20:27:19.762</v>
      </c>
      <c r="U1114" t="str">
        <f t="shared" si="126"/>
        <v>AA0632</v>
      </c>
      <c r="V1114">
        <v>0</v>
      </c>
      <c r="W1114">
        <v>0</v>
      </c>
      <c r="X1114">
        <v>2</v>
      </c>
      <c r="Y1114">
        <v>0</v>
      </c>
      <c r="AA1114">
        <v>0</v>
      </c>
      <c r="AB1114">
        <v>9</v>
      </c>
      <c r="AC1114">
        <v>3</v>
      </c>
      <c r="AD1114">
        <v>0</v>
      </c>
      <c r="AE1114">
        <v>10</v>
      </c>
      <c r="AF1114" t="s">
        <v>126</v>
      </c>
      <c r="AG1114">
        <v>0</v>
      </c>
      <c r="AH1114">
        <v>0</v>
      </c>
      <c r="AI1114">
        <v>2</v>
      </c>
      <c r="AJ1114">
        <v>0</v>
      </c>
      <c r="AK1114" t="s">
        <v>668</v>
      </c>
      <c r="AL1114">
        <v>31.922193</v>
      </c>
      <c r="AM1114" t="s">
        <v>669</v>
      </c>
      <c r="AN1114">
        <v>-100.970449</v>
      </c>
      <c r="AQ1114" t="s">
        <v>129</v>
      </c>
      <c r="AR1114">
        <v>22</v>
      </c>
      <c r="AS1114">
        <v>16</v>
      </c>
      <c r="AT1114">
        <v>-320</v>
      </c>
      <c r="BB1114" t="str">
        <f t="shared" si="127"/>
        <v>1200</v>
      </c>
      <c r="BC1114">
        <v>1</v>
      </c>
      <c r="BD1114" t="str">
        <f t="shared" si="129"/>
        <v xml:space="preserve">N745MB  </v>
      </c>
      <c r="BE1114">
        <v>1</v>
      </c>
      <c r="BG1114">
        <v>0</v>
      </c>
      <c r="BH1114">
        <v>0</v>
      </c>
      <c r="BI1114">
        <v>0</v>
      </c>
      <c r="BL1114" t="s">
        <v>130</v>
      </c>
      <c r="BM1114">
        <v>1</v>
      </c>
      <c r="BN1114">
        <v>0</v>
      </c>
      <c r="BO1114">
        <v>0</v>
      </c>
      <c r="BP1114">
        <v>0</v>
      </c>
      <c r="BT1114">
        <v>0</v>
      </c>
      <c r="BU1114">
        <v>0</v>
      </c>
      <c r="CE1114" t="str">
        <f>"20:27:21.069"</f>
        <v>20:27:21.069</v>
      </c>
      <c r="CF1114">
        <v>68797559</v>
      </c>
      <c r="CS1114">
        <v>0</v>
      </c>
      <c r="CT1114">
        <v>2</v>
      </c>
      <c r="CU1114">
        <v>0</v>
      </c>
      <c r="CV1114">
        <v>2</v>
      </c>
      <c r="CW1114">
        <v>0</v>
      </c>
      <c r="CX1114">
        <v>2</v>
      </c>
      <c r="CY1114">
        <v>7</v>
      </c>
      <c r="CZ1114" t="s">
        <v>131</v>
      </c>
      <c r="DA1114">
        <v>483</v>
      </c>
      <c r="DB1114">
        <v>1</v>
      </c>
      <c r="DC1114" t="s">
        <v>169</v>
      </c>
      <c r="DD1114" t="s">
        <v>170</v>
      </c>
      <c r="DG1114">
        <v>7388179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0</v>
      </c>
      <c r="DP1114">
        <v>1</v>
      </c>
      <c r="DQ1114">
        <v>0</v>
      </c>
      <c r="DR1114">
        <v>0</v>
      </c>
      <c r="DS1114">
        <v>0</v>
      </c>
    </row>
    <row r="1115" spans="1:123" x14ac:dyDescent="0.25">
      <c r="A1115" t="str">
        <f>"11/29/2023 20:27:21.587"</f>
        <v>11/29/2023 20:27:21.587</v>
      </c>
      <c r="C1115" t="str">
        <f t="shared" si="128"/>
        <v>FFDF53C0</v>
      </c>
      <c r="D1115" t="s">
        <v>123</v>
      </c>
      <c r="E1115">
        <v>14</v>
      </c>
      <c r="F1115">
        <v>1014</v>
      </c>
      <c r="G1115" t="s">
        <v>124</v>
      </c>
      <c r="J1115" t="s">
        <v>125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>"20:27:21.063"</f>
        <v>20:27:21.063</v>
      </c>
      <c r="T1115" t="str">
        <f>"20:27:19.762"</f>
        <v>20:27:19.762</v>
      </c>
      <c r="U1115" t="str">
        <f t="shared" si="126"/>
        <v>AA0632</v>
      </c>
      <c r="V1115">
        <v>0</v>
      </c>
      <c r="W1115">
        <v>0</v>
      </c>
      <c r="X1115">
        <v>2</v>
      </c>
      <c r="Y1115">
        <v>0</v>
      </c>
      <c r="AA1115">
        <v>0</v>
      </c>
      <c r="AB1115">
        <v>9</v>
      </c>
      <c r="AC1115">
        <v>3</v>
      </c>
      <c r="AD1115">
        <v>0</v>
      </c>
      <c r="AE1115">
        <v>10</v>
      </c>
      <c r="AF1115" t="s">
        <v>126</v>
      </c>
      <c r="AG1115">
        <v>0</v>
      </c>
      <c r="AH1115">
        <v>0</v>
      </c>
      <c r="AI1115">
        <v>2</v>
      </c>
      <c r="AJ1115">
        <v>0</v>
      </c>
      <c r="AK1115" t="s">
        <v>668</v>
      </c>
      <c r="AL1115">
        <v>31.922193</v>
      </c>
      <c r="AM1115" t="s">
        <v>669</v>
      </c>
      <c r="AN1115">
        <v>-100.970449</v>
      </c>
      <c r="AQ1115" t="s">
        <v>129</v>
      </c>
      <c r="AR1115">
        <v>22</v>
      </c>
      <c r="AS1115">
        <v>16</v>
      </c>
      <c r="AT1115">
        <v>-320</v>
      </c>
      <c r="BB1115" t="str">
        <f t="shared" si="127"/>
        <v>1200</v>
      </c>
      <c r="BC1115">
        <v>1</v>
      </c>
      <c r="BD1115" t="str">
        <f t="shared" si="129"/>
        <v xml:space="preserve">N745MB  </v>
      </c>
      <c r="BE1115">
        <v>1</v>
      </c>
      <c r="BG1115">
        <v>0</v>
      </c>
      <c r="BH1115">
        <v>0</v>
      </c>
      <c r="BI1115">
        <v>0</v>
      </c>
      <c r="BL1115" t="s">
        <v>130</v>
      </c>
      <c r="BM1115">
        <v>1</v>
      </c>
      <c r="BN1115">
        <v>0</v>
      </c>
      <c r="BO1115">
        <v>0</v>
      </c>
      <c r="BP1115">
        <v>0</v>
      </c>
      <c r="BT1115">
        <v>0</v>
      </c>
      <c r="BU1115">
        <v>0</v>
      </c>
      <c r="CE1115" t="str">
        <f>"20:27:21.069"</f>
        <v>20:27:21.069</v>
      </c>
      <c r="CF1115">
        <v>68797559</v>
      </c>
      <c r="CS1115">
        <v>0</v>
      </c>
      <c r="CT1115">
        <v>2</v>
      </c>
      <c r="CU1115">
        <v>0</v>
      </c>
      <c r="CV1115">
        <v>2</v>
      </c>
      <c r="CW1115">
        <v>0</v>
      </c>
      <c r="CX1115">
        <v>2</v>
      </c>
      <c r="CY1115">
        <v>7</v>
      </c>
      <c r="CZ1115" t="s">
        <v>131</v>
      </c>
      <c r="DA1115">
        <v>483</v>
      </c>
      <c r="DB1115">
        <v>1</v>
      </c>
      <c r="DC1115" t="s">
        <v>169</v>
      </c>
      <c r="DD1115" t="s">
        <v>170</v>
      </c>
      <c r="DG1115">
        <v>7388179</v>
      </c>
      <c r="DI1115">
        <v>0</v>
      </c>
      <c r="DJ1115">
        <v>0</v>
      </c>
      <c r="DK1115">
        <v>1</v>
      </c>
      <c r="DL1115">
        <v>0</v>
      </c>
      <c r="DM1115">
        <v>0</v>
      </c>
      <c r="DN1115">
        <v>0</v>
      </c>
      <c r="DO1115">
        <v>0</v>
      </c>
      <c r="DP1115">
        <v>1</v>
      </c>
      <c r="DQ1115">
        <v>0</v>
      </c>
      <c r="DR1115">
        <v>0</v>
      </c>
      <c r="DS1115">
        <v>0</v>
      </c>
    </row>
    <row r="1116" spans="1:123" x14ac:dyDescent="0.25">
      <c r="A1116" t="str">
        <f>"11/29/2023 20:27:21.587"</f>
        <v>11/29/2023 20:27:21.587</v>
      </c>
      <c r="C1116" t="str">
        <f t="shared" si="128"/>
        <v>FFDF53C0</v>
      </c>
      <c r="D1116" t="s">
        <v>138</v>
      </c>
      <c r="E1116">
        <v>3</v>
      </c>
      <c r="H1116">
        <v>160</v>
      </c>
      <c r="I1116" t="s">
        <v>124</v>
      </c>
      <c r="J1116" t="s">
        <v>139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>"20:27:21.063"</f>
        <v>20:27:21.063</v>
      </c>
      <c r="T1116" t="str">
        <f>"20:27:19.762"</f>
        <v>20:27:19.762</v>
      </c>
      <c r="U1116" t="str">
        <f t="shared" si="126"/>
        <v>AA0632</v>
      </c>
      <c r="V1116">
        <v>0</v>
      </c>
      <c r="W1116">
        <v>0</v>
      </c>
      <c r="X1116">
        <v>2</v>
      </c>
      <c r="Y1116">
        <v>0</v>
      </c>
      <c r="AA1116">
        <v>0</v>
      </c>
      <c r="AB1116">
        <v>9</v>
      </c>
      <c r="AC1116">
        <v>3</v>
      </c>
      <c r="AD1116">
        <v>0</v>
      </c>
      <c r="AE1116">
        <v>10</v>
      </c>
      <c r="AF1116" t="s">
        <v>126</v>
      </c>
      <c r="AG1116">
        <v>0</v>
      </c>
      <c r="AH1116">
        <v>0</v>
      </c>
      <c r="AI1116">
        <v>2</v>
      </c>
      <c r="AJ1116">
        <v>0</v>
      </c>
      <c r="AK1116" t="s">
        <v>668</v>
      </c>
      <c r="AL1116">
        <v>31.922193</v>
      </c>
      <c r="AM1116" t="s">
        <v>669</v>
      </c>
      <c r="AN1116">
        <v>-100.970449</v>
      </c>
      <c r="AQ1116" t="s">
        <v>129</v>
      </c>
      <c r="AR1116">
        <v>22</v>
      </c>
      <c r="AS1116">
        <v>16</v>
      </c>
      <c r="AT1116">
        <v>-320</v>
      </c>
      <c r="BB1116" t="str">
        <f t="shared" si="127"/>
        <v>1200</v>
      </c>
      <c r="BC1116">
        <v>1</v>
      </c>
      <c r="BD1116" t="str">
        <f t="shared" si="129"/>
        <v xml:space="preserve">N745MB  </v>
      </c>
      <c r="BE1116">
        <v>1</v>
      </c>
      <c r="BG1116">
        <v>0</v>
      </c>
      <c r="BH1116">
        <v>0</v>
      </c>
      <c r="BI1116">
        <v>0</v>
      </c>
      <c r="BL1116" t="s">
        <v>130</v>
      </c>
      <c r="BM1116">
        <v>1</v>
      </c>
      <c r="BN1116">
        <v>0</v>
      </c>
      <c r="BO1116">
        <v>0</v>
      </c>
      <c r="BP1116">
        <v>0</v>
      </c>
      <c r="BT1116">
        <v>0</v>
      </c>
      <c r="BU1116">
        <v>0</v>
      </c>
      <c r="CE1116" t="str">
        <f>"20:27:21.069"</f>
        <v>20:27:21.069</v>
      </c>
      <c r="CF1116">
        <v>68797559</v>
      </c>
      <c r="CS1116">
        <v>0</v>
      </c>
      <c r="CT1116">
        <v>2</v>
      </c>
      <c r="CU1116">
        <v>0</v>
      </c>
      <c r="CV1116">
        <v>2</v>
      </c>
      <c r="CW1116">
        <v>0</v>
      </c>
      <c r="CX1116">
        <v>2</v>
      </c>
      <c r="CY1116">
        <v>7</v>
      </c>
      <c r="CZ1116" t="s">
        <v>131</v>
      </c>
      <c r="DA1116">
        <v>483</v>
      </c>
      <c r="DB1116">
        <v>1</v>
      </c>
      <c r="DC1116" t="s">
        <v>169</v>
      </c>
      <c r="DD1116" t="s">
        <v>170</v>
      </c>
      <c r="DG1116">
        <v>7388179</v>
      </c>
      <c r="DI1116">
        <v>0</v>
      </c>
      <c r="DJ1116">
        <v>0</v>
      </c>
      <c r="DK1116">
        <v>1</v>
      </c>
      <c r="DL1116">
        <v>0</v>
      </c>
      <c r="DM1116">
        <v>0</v>
      </c>
      <c r="DN1116">
        <v>0</v>
      </c>
      <c r="DO1116">
        <v>0</v>
      </c>
      <c r="DP1116">
        <v>1</v>
      </c>
      <c r="DQ1116">
        <v>0</v>
      </c>
      <c r="DR1116">
        <v>0</v>
      </c>
      <c r="DS1116">
        <v>0</v>
      </c>
    </row>
    <row r="1117" spans="1:123" x14ac:dyDescent="0.25">
      <c r="A1117" t="str">
        <f>"11/29/2023 20:27:23.493"</f>
        <v>11/29/2023 20:27:23.493</v>
      </c>
      <c r="C1117" t="str">
        <f t="shared" si="128"/>
        <v>FFDF53C0</v>
      </c>
      <c r="D1117" t="s">
        <v>123</v>
      </c>
      <c r="E1117">
        <v>14</v>
      </c>
      <c r="F1117">
        <v>1014</v>
      </c>
      <c r="G1117" t="s">
        <v>124</v>
      </c>
      <c r="J1117" t="s">
        <v>125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 t="shared" ref="S1117:T1120" si="130">"20:27:23.180"</f>
        <v>20:27:23.180</v>
      </c>
      <c r="T1117" t="str">
        <f t="shared" si="130"/>
        <v>20:27:23.180</v>
      </c>
      <c r="U1117" t="str">
        <f t="shared" si="126"/>
        <v>AA0632</v>
      </c>
      <c r="V1117">
        <v>0</v>
      </c>
      <c r="W1117">
        <v>0</v>
      </c>
      <c r="X1117">
        <v>2</v>
      </c>
      <c r="Y1117">
        <v>0</v>
      </c>
      <c r="AA1117">
        <v>0</v>
      </c>
      <c r="AB1117">
        <v>9</v>
      </c>
      <c r="AC1117">
        <v>3</v>
      </c>
      <c r="AD1117">
        <v>0</v>
      </c>
      <c r="AE1117">
        <v>10</v>
      </c>
      <c r="AF1117" t="s">
        <v>126</v>
      </c>
      <c r="AG1117">
        <v>0</v>
      </c>
      <c r="AH1117">
        <v>0</v>
      </c>
      <c r="AI1117">
        <v>2</v>
      </c>
      <c r="AJ1117">
        <v>0</v>
      </c>
      <c r="AK1117" t="s">
        <v>550</v>
      </c>
      <c r="AL1117">
        <v>31.922343000000001</v>
      </c>
      <c r="AM1117" t="s">
        <v>670</v>
      </c>
      <c r="AN1117">
        <v>-100.97017</v>
      </c>
      <c r="AQ1117" t="s">
        <v>129</v>
      </c>
      <c r="AR1117">
        <v>19</v>
      </c>
      <c r="AS1117">
        <v>13</v>
      </c>
      <c r="AT1117">
        <v>-448</v>
      </c>
      <c r="BB1117" t="str">
        <f t="shared" si="127"/>
        <v>1200</v>
      </c>
      <c r="BC1117">
        <v>1</v>
      </c>
      <c r="BD1117" t="str">
        <f t="shared" si="129"/>
        <v xml:space="preserve">N745MB  </v>
      </c>
      <c r="BE1117">
        <v>1</v>
      </c>
      <c r="BG1117">
        <v>0</v>
      </c>
      <c r="BH1117">
        <v>0</v>
      </c>
      <c r="BI1117">
        <v>0</v>
      </c>
      <c r="BL1117" t="s">
        <v>130</v>
      </c>
      <c r="BM1117">
        <v>1</v>
      </c>
      <c r="BN1117">
        <v>0</v>
      </c>
      <c r="BO1117">
        <v>0</v>
      </c>
      <c r="BP1117">
        <v>0</v>
      </c>
      <c r="BT1117">
        <v>0</v>
      </c>
      <c r="BU1117">
        <v>0</v>
      </c>
      <c r="CE1117" t="str">
        <f>"20:27:23.183"</f>
        <v>20:27:23.183</v>
      </c>
      <c r="CF1117">
        <v>182652488</v>
      </c>
      <c r="CS1117">
        <v>0</v>
      </c>
      <c r="CT1117">
        <v>2</v>
      </c>
      <c r="CU1117">
        <v>0</v>
      </c>
      <c r="CV1117">
        <v>2</v>
      </c>
      <c r="CW1117">
        <v>0</v>
      </c>
      <c r="CX1117">
        <v>4</v>
      </c>
      <c r="CY1117">
        <v>7</v>
      </c>
      <c r="CZ1117" t="s">
        <v>131</v>
      </c>
      <c r="DA1117">
        <v>116</v>
      </c>
      <c r="DB1117">
        <v>0</v>
      </c>
      <c r="DC1117" t="s">
        <v>132</v>
      </c>
      <c r="DD1117" t="s">
        <v>133</v>
      </c>
      <c r="DG1117">
        <v>14741535</v>
      </c>
      <c r="DI1117">
        <v>0</v>
      </c>
      <c r="DJ1117">
        <v>1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1</v>
      </c>
      <c r="DQ1117">
        <v>0</v>
      </c>
      <c r="DR1117">
        <v>0</v>
      </c>
      <c r="DS1117">
        <v>1</v>
      </c>
    </row>
    <row r="1118" spans="1:123" x14ac:dyDescent="0.25">
      <c r="A1118" t="str">
        <f>"11/29/2023 20:27:23.493"</f>
        <v>11/29/2023 20:27:23.493</v>
      </c>
      <c r="C1118" t="str">
        <f t="shared" si="128"/>
        <v>FFDF53C0</v>
      </c>
      <c r="D1118" t="s">
        <v>123</v>
      </c>
      <c r="E1118">
        <v>1</v>
      </c>
      <c r="F1118">
        <v>1001</v>
      </c>
      <c r="G1118" t="s">
        <v>134</v>
      </c>
      <c r="J1118" t="s">
        <v>125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 t="shared" si="130"/>
        <v>20:27:23.180</v>
      </c>
      <c r="T1118" t="str">
        <f t="shared" si="130"/>
        <v>20:27:23.180</v>
      </c>
      <c r="U1118" t="str">
        <f t="shared" si="126"/>
        <v>AA0632</v>
      </c>
      <c r="V1118">
        <v>0</v>
      </c>
      <c r="W1118">
        <v>0</v>
      </c>
      <c r="X1118">
        <v>2</v>
      </c>
      <c r="Y1118">
        <v>0</v>
      </c>
      <c r="AA1118">
        <v>0</v>
      </c>
      <c r="AB1118">
        <v>9</v>
      </c>
      <c r="AC1118">
        <v>3</v>
      </c>
      <c r="AD1118">
        <v>0</v>
      </c>
      <c r="AE1118">
        <v>10</v>
      </c>
      <c r="AF1118" t="s">
        <v>126</v>
      </c>
      <c r="AG1118">
        <v>0</v>
      </c>
      <c r="AH1118">
        <v>0</v>
      </c>
      <c r="AI1118">
        <v>2</v>
      </c>
      <c r="AJ1118">
        <v>0</v>
      </c>
      <c r="AK1118" t="s">
        <v>550</v>
      </c>
      <c r="AL1118">
        <v>31.922343000000001</v>
      </c>
      <c r="AM1118" t="s">
        <v>670</v>
      </c>
      <c r="AN1118">
        <v>-100.97017</v>
      </c>
      <c r="AQ1118" t="s">
        <v>129</v>
      </c>
      <c r="AR1118">
        <v>19</v>
      </c>
      <c r="AS1118">
        <v>13</v>
      </c>
      <c r="AT1118">
        <v>-448</v>
      </c>
      <c r="BB1118" t="str">
        <f t="shared" si="127"/>
        <v>1200</v>
      </c>
      <c r="BC1118">
        <v>1</v>
      </c>
      <c r="BD1118" t="str">
        <f t="shared" si="129"/>
        <v xml:space="preserve">N745MB  </v>
      </c>
      <c r="BE1118">
        <v>1</v>
      </c>
      <c r="BG1118">
        <v>0</v>
      </c>
      <c r="BH1118">
        <v>0</v>
      </c>
      <c r="BI1118">
        <v>0</v>
      </c>
      <c r="BL1118" t="s">
        <v>130</v>
      </c>
      <c r="BM1118">
        <v>1</v>
      </c>
      <c r="BN1118">
        <v>0</v>
      </c>
      <c r="BO1118">
        <v>0</v>
      </c>
      <c r="BP1118">
        <v>0</v>
      </c>
      <c r="BT1118">
        <v>0</v>
      </c>
      <c r="BU1118">
        <v>0</v>
      </c>
      <c r="CE1118" t="str">
        <f>"20:27:23.183"</f>
        <v>20:27:23.183</v>
      </c>
      <c r="CF1118">
        <v>182652488</v>
      </c>
      <c r="CS1118">
        <v>0</v>
      </c>
      <c r="CT1118">
        <v>2</v>
      </c>
      <c r="CU1118">
        <v>0</v>
      </c>
      <c r="CV1118">
        <v>2</v>
      </c>
      <c r="CW1118">
        <v>0</v>
      </c>
      <c r="CX1118">
        <v>4</v>
      </c>
      <c r="CY1118">
        <v>7</v>
      </c>
      <c r="CZ1118" t="s">
        <v>131</v>
      </c>
      <c r="DA1118">
        <v>116</v>
      </c>
      <c r="DB1118">
        <v>0</v>
      </c>
      <c r="DC1118" t="s">
        <v>132</v>
      </c>
      <c r="DD1118" t="s">
        <v>133</v>
      </c>
      <c r="DG1118">
        <v>14741535</v>
      </c>
      <c r="DI1118">
        <v>0</v>
      </c>
      <c r="DJ1118">
        <v>1</v>
      </c>
      <c r="DK1118">
        <v>1</v>
      </c>
      <c r="DL1118">
        <v>0</v>
      </c>
      <c r="DM1118">
        <v>0</v>
      </c>
      <c r="DN1118">
        <v>0</v>
      </c>
      <c r="DO1118">
        <v>0</v>
      </c>
      <c r="DP1118">
        <v>1</v>
      </c>
      <c r="DQ1118">
        <v>0</v>
      </c>
      <c r="DR1118">
        <v>0</v>
      </c>
      <c r="DS1118">
        <v>1</v>
      </c>
    </row>
    <row r="1119" spans="1:123" x14ac:dyDescent="0.25">
      <c r="A1119" t="str">
        <f>"11/29/2023 20:27:23.540"</f>
        <v>11/29/2023 20:27:23.540</v>
      </c>
      <c r="C1119" t="str">
        <f t="shared" si="128"/>
        <v>FFDF53C0</v>
      </c>
      <c r="D1119" t="s">
        <v>135</v>
      </c>
      <c r="E1119">
        <v>31</v>
      </c>
      <c r="H1119">
        <v>285</v>
      </c>
      <c r="I1119" t="s">
        <v>136</v>
      </c>
      <c r="J1119" t="s">
        <v>137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 t="shared" si="130"/>
        <v>20:27:23.180</v>
      </c>
      <c r="T1119" t="str">
        <f t="shared" si="130"/>
        <v>20:27:23.180</v>
      </c>
      <c r="U1119" t="str">
        <f t="shared" si="126"/>
        <v>AA0632</v>
      </c>
      <c r="V1119">
        <v>0</v>
      </c>
      <c r="W1119">
        <v>0</v>
      </c>
      <c r="X1119">
        <v>2</v>
      </c>
      <c r="Y1119">
        <v>0</v>
      </c>
      <c r="AA1119">
        <v>0</v>
      </c>
      <c r="AB1119">
        <v>9</v>
      </c>
      <c r="AC1119">
        <v>3</v>
      </c>
      <c r="AD1119">
        <v>0</v>
      </c>
      <c r="AE1119">
        <v>10</v>
      </c>
      <c r="AF1119" t="s">
        <v>126</v>
      </c>
      <c r="AG1119">
        <v>0</v>
      </c>
      <c r="AH1119">
        <v>0</v>
      </c>
      <c r="AI1119">
        <v>2</v>
      </c>
      <c r="AJ1119">
        <v>0</v>
      </c>
      <c r="AK1119" t="s">
        <v>550</v>
      </c>
      <c r="AL1119">
        <v>31.922343000000001</v>
      </c>
      <c r="AM1119" t="s">
        <v>670</v>
      </c>
      <c r="AN1119">
        <v>-100.97017</v>
      </c>
      <c r="AQ1119" t="s">
        <v>129</v>
      </c>
      <c r="AR1119">
        <v>19</v>
      </c>
      <c r="AS1119">
        <v>13</v>
      </c>
      <c r="AT1119">
        <v>-448</v>
      </c>
      <c r="BB1119" t="str">
        <f t="shared" si="127"/>
        <v>1200</v>
      </c>
      <c r="BC1119">
        <v>1</v>
      </c>
      <c r="BD1119" t="str">
        <f t="shared" si="129"/>
        <v xml:space="preserve">N745MB  </v>
      </c>
      <c r="BE1119">
        <v>1</v>
      </c>
      <c r="BG1119">
        <v>0</v>
      </c>
      <c r="BH1119">
        <v>0</v>
      </c>
      <c r="BI1119">
        <v>0</v>
      </c>
      <c r="BL1119" t="s">
        <v>130</v>
      </c>
      <c r="BM1119">
        <v>1</v>
      </c>
      <c r="BN1119">
        <v>0</v>
      </c>
      <c r="BO1119">
        <v>0</v>
      </c>
      <c r="BP1119">
        <v>0</v>
      </c>
      <c r="BT1119">
        <v>0</v>
      </c>
      <c r="BU1119">
        <v>0</v>
      </c>
      <c r="CE1119" t="str">
        <f>"20:27:23.183"</f>
        <v>20:27:23.183</v>
      </c>
      <c r="CF1119">
        <v>182652488</v>
      </c>
      <c r="CS1119">
        <v>0</v>
      </c>
      <c r="CT1119">
        <v>2</v>
      </c>
      <c r="CU1119">
        <v>0</v>
      </c>
      <c r="CV1119">
        <v>2</v>
      </c>
      <c r="CW1119">
        <v>0</v>
      </c>
      <c r="CX1119">
        <v>4</v>
      </c>
      <c r="CY1119">
        <v>7</v>
      </c>
      <c r="CZ1119" t="s">
        <v>131</v>
      </c>
      <c r="DA1119">
        <v>116</v>
      </c>
      <c r="DB1119">
        <v>0</v>
      </c>
      <c r="DC1119" t="s">
        <v>132</v>
      </c>
      <c r="DD1119" t="s">
        <v>133</v>
      </c>
      <c r="DG1119">
        <v>14741535</v>
      </c>
      <c r="DI1119">
        <v>0</v>
      </c>
      <c r="DJ1119">
        <v>1</v>
      </c>
      <c r="DK1119">
        <v>1</v>
      </c>
      <c r="DL1119">
        <v>0</v>
      </c>
      <c r="DM1119">
        <v>0</v>
      </c>
      <c r="DN1119">
        <v>0</v>
      </c>
      <c r="DO1119">
        <v>0</v>
      </c>
      <c r="DP1119">
        <v>1</v>
      </c>
      <c r="DQ1119">
        <v>0</v>
      </c>
      <c r="DR1119">
        <v>0</v>
      </c>
      <c r="DS1119">
        <v>1</v>
      </c>
    </row>
    <row r="1120" spans="1:123" x14ac:dyDescent="0.25">
      <c r="A1120" t="str">
        <f>"11/29/2023 20:27:23.540"</f>
        <v>11/29/2023 20:27:23.540</v>
      </c>
      <c r="C1120" t="str">
        <f t="shared" si="128"/>
        <v>FFDF53C0</v>
      </c>
      <c r="D1120" t="s">
        <v>138</v>
      </c>
      <c r="E1120">
        <v>3</v>
      </c>
      <c r="H1120">
        <v>160</v>
      </c>
      <c r="I1120" t="s">
        <v>124</v>
      </c>
      <c r="J1120" t="s">
        <v>139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 t="shared" si="130"/>
        <v>20:27:23.180</v>
      </c>
      <c r="T1120" t="str">
        <f t="shared" si="130"/>
        <v>20:27:23.180</v>
      </c>
      <c r="U1120" t="str">
        <f t="shared" si="126"/>
        <v>AA0632</v>
      </c>
      <c r="V1120">
        <v>0</v>
      </c>
      <c r="W1120">
        <v>0</v>
      </c>
      <c r="X1120">
        <v>2</v>
      </c>
      <c r="Y1120">
        <v>0</v>
      </c>
      <c r="AA1120">
        <v>0</v>
      </c>
      <c r="AB1120">
        <v>9</v>
      </c>
      <c r="AC1120">
        <v>3</v>
      </c>
      <c r="AD1120">
        <v>0</v>
      </c>
      <c r="AE1120">
        <v>10</v>
      </c>
      <c r="AF1120" t="s">
        <v>126</v>
      </c>
      <c r="AG1120">
        <v>0</v>
      </c>
      <c r="AH1120">
        <v>0</v>
      </c>
      <c r="AI1120">
        <v>2</v>
      </c>
      <c r="AJ1120">
        <v>0</v>
      </c>
      <c r="AK1120" t="s">
        <v>550</v>
      </c>
      <c r="AL1120">
        <v>31.922343000000001</v>
      </c>
      <c r="AM1120" t="s">
        <v>670</v>
      </c>
      <c r="AN1120">
        <v>-100.97017</v>
      </c>
      <c r="AQ1120" t="s">
        <v>129</v>
      </c>
      <c r="AR1120">
        <v>19</v>
      </c>
      <c r="AS1120">
        <v>13</v>
      </c>
      <c r="AT1120">
        <v>-448</v>
      </c>
      <c r="BB1120" t="str">
        <f t="shared" si="127"/>
        <v>1200</v>
      </c>
      <c r="BC1120">
        <v>1</v>
      </c>
      <c r="BD1120" t="str">
        <f t="shared" si="129"/>
        <v xml:space="preserve">N745MB  </v>
      </c>
      <c r="BE1120">
        <v>1</v>
      </c>
      <c r="BG1120">
        <v>0</v>
      </c>
      <c r="BH1120">
        <v>0</v>
      </c>
      <c r="BI1120">
        <v>0</v>
      </c>
      <c r="BL1120" t="s">
        <v>130</v>
      </c>
      <c r="BM1120">
        <v>1</v>
      </c>
      <c r="BN1120">
        <v>0</v>
      </c>
      <c r="BO1120">
        <v>0</v>
      </c>
      <c r="BP1120">
        <v>0</v>
      </c>
      <c r="BT1120">
        <v>0</v>
      </c>
      <c r="BU1120">
        <v>0</v>
      </c>
      <c r="CE1120" t="str">
        <f>"20:27:23.183"</f>
        <v>20:27:23.183</v>
      </c>
      <c r="CF1120">
        <v>182652488</v>
      </c>
      <c r="CS1120">
        <v>0</v>
      </c>
      <c r="CT1120">
        <v>2</v>
      </c>
      <c r="CU1120">
        <v>0</v>
      </c>
      <c r="CV1120">
        <v>2</v>
      </c>
      <c r="CW1120">
        <v>0</v>
      </c>
      <c r="CX1120">
        <v>4</v>
      </c>
      <c r="CY1120">
        <v>7</v>
      </c>
      <c r="CZ1120" t="s">
        <v>131</v>
      </c>
      <c r="DA1120">
        <v>116</v>
      </c>
      <c r="DB1120">
        <v>0</v>
      </c>
      <c r="DC1120" t="s">
        <v>132</v>
      </c>
      <c r="DD1120" t="s">
        <v>133</v>
      </c>
      <c r="DG1120">
        <v>14741535</v>
      </c>
      <c r="DI1120">
        <v>0</v>
      </c>
      <c r="DJ1120">
        <v>1</v>
      </c>
      <c r="DK1120">
        <v>1</v>
      </c>
      <c r="DL1120">
        <v>0</v>
      </c>
      <c r="DM1120">
        <v>0</v>
      </c>
      <c r="DN1120">
        <v>0</v>
      </c>
      <c r="DO1120">
        <v>0</v>
      </c>
      <c r="DP1120">
        <v>1</v>
      </c>
      <c r="DQ1120">
        <v>0</v>
      </c>
      <c r="DR1120">
        <v>0</v>
      </c>
      <c r="DS1120">
        <v>1</v>
      </c>
    </row>
    <row r="1121" spans="1:123" x14ac:dyDescent="0.25">
      <c r="A1121" t="str">
        <f>"11/29/2023 20:27:24.931"</f>
        <v>11/29/2023 20:27:24.931</v>
      </c>
      <c r="C1121" t="str">
        <f t="shared" si="128"/>
        <v>FFDF53C0</v>
      </c>
      <c r="D1121" t="s">
        <v>123</v>
      </c>
      <c r="E1121">
        <v>1</v>
      </c>
      <c r="F1121">
        <v>1001</v>
      </c>
      <c r="G1121" t="s">
        <v>134</v>
      </c>
      <c r="J1121" t="s">
        <v>125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>"20:27:24.344"</f>
        <v>20:27:24.344</v>
      </c>
      <c r="T1121" t="str">
        <f>"20:27:24.044"</f>
        <v>20:27:24.044</v>
      </c>
      <c r="U1121" t="str">
        <f t="shared" si="126"/>
        <v>AA0632</v>
      </c>
      <c r="V1121">
        <v>0</v>
      </c>
      <c r="W1121">
        <v>0</v>
      </c>
      <c r="X1121">
        <v>2</v>
      </c>
      <c r="Y1121">
        <v>0</v>
      </c>
      <c r="AA1121">
        <v>0</v>
      </c>
      <c r="AB1121">
        <v>9</v>
      </c>
      <c r="AC1121">
        <v>3</v>
      </c>
      <c r="AD1121">
        <v>0</v>
      </c>
      <c r="AE1121">
        <v>10</v>
      </c>
      <c r="AF1121" t="s">
        <v>126</v>
      </c>
      <c r="AG1121">
        <v>0</v>
      </c>
      <c r="AH1121">
        <v>0</v>
      </c>
      <c r="AI1121">
        <v>2</v>
      </c>
      <c r="AJ1121">
        <v>0</v>
      </c>
      <c r="AK1121" t="s">
        <v>530</v>
      </c>
      <c r="AL1121">
        <v>31.922407</v>
      </c>
      <c r="AM1121" t="s">
        <v>671</v>
      </c>
      <c r="AN1121">
        <v>-100.970063</v>
      </c>
      <c r="AQ1121" t="s">
        <v>129</v>
      </c>
      <c r="AR1121">
        <v>18</v>
      </c>
      <c r="AS1121">
        <v>12</v>
      </c>
      <c r="AT1121">
        <v>-448</v>
      </c>
      <c r="BB1121" t="str">
        <f t="shared" si="127"/>
        <v>1200</v>
      </c>
      <c r="BC1121">
        <v>1</v>
      </c>
      <c r="BD1121" t="str">
        <f t="shared" si="129"/>
        <v xml:space="preserve">N745MB  </v>
      </c>
      <c r="BE1121">
        <v>1</v>
      </c>
      <c r="BG1121">
        <v>0</v>
      </c>
      <c r="BH1121">
        <v>0</v>
      </c>
      <c r="BI1121">
        <v>0</v>
      </c>
      <c r="BL1121" t="s">
        <v>130</v>
      </c>
      <c r="BM1121">
        <v>1</v>
      </c>
      <c r="BN1121">
        <v>0</v>
      </c>
      <c r="BO1121">
        <v>0</v>
      </c>
      <c r="BP1121">
        <v>0</v>
      </c>
      <c r="BT1121">
        <v>0</v>
      </c>
      <c r="BU1121">
        <v>0</v>
      </c>
      <c r="CE1121" t="str">
        <f>"20:27:24.345"</f>
        <v>20:27:24.345</v>
      </c>
      <c r="CF1121">
        <v>344575025</v>
      </c>
      <c r="CS1121">
        <v>0</v>
      </c>
      <c r="CT1121">
        <v>2</v>
      </c>
      <c r="CU1121">
        <v>0</v>
      </c>
      <c r="CV1121">
        <v>2</v>
      </c>
      <c r="CW1121">
        <v>0</v>
      </c>
      <c r="CX1121">
        <v>5</v>
      </c>
      <c r="CY1121">
        <v>7</v>
      </c>
      <c r="CZ1121" t="s">
        <v>131</v>
      </c>
      <c r="DA1121">
        <v>116</v>
      </c>
      <c r="DB1121">
        <v>0</v>
      </c>
      <c r="DC1121" t="s">
        <v>132</v>
      </c>
      <c r="DD1121" t="s">
        <v>133</v>
      </c>
      <c r="DG1121">
        <v>14742550</v>
      </c>
      <c r="DI1121">
        <v>0</v>
      </c>
      <c r="DJ1121">
        <v>1</v>
      </c>
      <c r="DK1121">
        <v>0</v>
      </c>
      <c r="DL1121">
        <v>0</v>
      </c>
      <c r="DM1121">
        <v>0</v>
      </c>
      <c r="DN1121">
        <v>0</v>
      </c>
      <c r="DO1121">
        <v>0</v>
      </c>
      <c r="DP1121">
        <v>1</v>
      </c>
      <c r="DQ1121">
        <v>0</v>
      </c>
      <c r="DR1121">
        <v>0</v>
      </c>
      <c r="DS1121">
        <v>1</v>
      </c>
    </row>
    <row r="1122" spans="1:123" x14ac:dyDescent="0.25">
      <c r="A1122" t="str">
        <f>"11/29/2023 20:27:25.087"</f>
        <v>11/29/2023 20:27:25.087</v>
      </c>
      <c r="C1122" t="str">
        <f t="shared" si="128"/>
        <v>FFDF53C0</v>
      </c>
      <c r="D1122" t="s">
        <v>135</v>
      </c>
      <c r="E1122">
        <v>31</v>
      </c>
      <c r="H1122">
        <v>285</v>
      </c>
      <c r="I1122" t="s">
        <v>136</v>
      </c>
      <c r="J1122" t="s">
        <v>137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>"20:27:24.344"</f>
        <v>20:27:24.344</v>
      </c>
      <c r="T1122" t="str">
        <f>"20:27:24.044"</f>
        <v>20:27:24.044</v>
      </c>
      <c r="U1122" t="str">
        <f t="shared" si="126"/>
        <v>AA0632</v>
      </c>
      <c r="V1122">
        <v>0</v>
      </c>
      <c r="W1122">
        <v>0</v>
      </c>
      <c r="X1122">
        <v>2</v>
      </c>
      <c r="Y1122">
        <v>0</v>
      </c>
      <c r="AA1122">
        <v>0</v>
      </c>
      <c r="AB1122">
        <v>9</v>
      </c>
      <c r="AC1122">
        <v>3</v>
      </c>
      <c r="AD1122">
        <v>0</v>
      </c>
      <c r="AE1122">
        <v>10</v>
      </c>
      <c r="AF1122" t="s">
        <v>126</v>
      </c>
      <c r="AG1122">
        <v>0</v>
      </c>
      <c r="AH1122">
        <v>0</v>
      </c>
      <c r="AI1122">
        <v>2</v>
      </c>
      <c r="AJ1122">
        <v>0</v>
      </c>
      <c r="AK1122" t="s">
        <v>530</v>
      </c>
      <c r="AL1122">
        <v>31.922407</v>
      </c>
      <c r="AM1122" t="s">
        <v>671</v>
      </c>
      <c r="AN1122">
        <v>-100.970063</v>
      </c>
      <c r="AQ1122" t="s">
        <v>129</v>
      </c>
      <c r="AR1122">
        <v>18</v>
      </c>
      <c r="AS1122">
        <v>12</v>
      </c>
      <c r="AT1122">
        <v>-448</v>
      </c>
      <c r="BB1122" t="str">
        <f t="shared" si="127"/>
        <v>1200</v>
      </c>
      <c r="BC1122">
        <v>1</v>
      </c>
      <c r="BD1122" t="str">
        <f t="shared" si="129"/>
        <v xml:space="preserve">N745MB  </v>
      </c>
      <c r="BE1122">
        <v>1</v>
      </c>
      <c r="BG1122">
        <v>0</v>
      </c>
      <c r="BH1122">
        <v>0</v>
      </c>
      <c r="BI1122">
        <v>0</v>
      </c>
      <c r="BL1122" t="s">
        <v>130</v>
      </c>
      <c r="BM1122">
        <v>1</v>
      </c>
      <c r="BN1122">
        <v>0</v>
      </c>
      <c r="BO1122">
        <v>0</v>
      </c>
      <c r="BP1122">
        <v>0</v>
      </c>
      <c r="BT1122">
        <v>0</v>
      </c>
      <c r="BU1122">
        <v>0</v>
      </c>
      <c r="CE1122" t="str">
        <f>"20:27:24.345"</f>
        <v>20:27:24.345</v>
      </c>
      <c r="CF1122">
        <v>344575025</v>
      </c>
      <c r="CS1122">
        <v>0</v>
      </c>
      <c r="CT1122">
        <v>2</v>
      </c>
      <c r="CU1122">
        <v>0</v>
      </c>
      <c r="CV1122">
        <v>2</v>
      </c>
      <c r="CW1122">
        <v>0</v>
      </c>
      <c r="CX1122">
        <v>5</v>
      </c>
      <c r="CY1122">
        <v>7</v>
      </c>
      <c r="CZ1122" t="s">
        <v>131</v>
      </c>
      <c r="DA1122">
        <v>116</v>
      </c>
      <c r="DB1122">
        <v>0</v>
      </c>
      <c r="DC1122" t="s">
        <v>132</v>
      </c>
      <c r="DD1122" t="s">
        <v>133</v>
      </c>
      <c r="DG1122">
        <v>14742550</v>
      </c>
      <c r="DI1122">
        <v>0</v>
      </c>
      <c r="DJ1122">
        <v>1</v>
      </c>
      <c r="DK1122">
        <v>1</v>
      </c>
      <c r="DL1122">
        <v>0</v>
      </c>
      <c r="DM1122">
        <v>0</v>
      </c>
      <c r="DN1122">
        <v>0</v>
      </c>
      <c r="DO1122">
        <v>0</v>
      </c>
      <c r="DP1122">
        <v>1</v>
      </c>
      <c r="DQ1122">
        <v>0</v>
      </c>
      <c r="DR1122">
        <v>0</v>
      </c>
      <c r="DS1122">
        <v>1</v>
      </c>
    </row>
    <row r="1123" spans="1:123" x14ac:dyDescent="0.25">
      <c r="A1123" t="str">
        <f>"11/29/2023 20:27:25.087"</f>
        <v>11/29/2023 20:27:25.087</v>
      </c>
      <c r="C1123" t="str">
        <f t="shared" si="128"/>
        <v>FFDF53C0</v>
      </c>
      <c r="D1123" t="s">
        <v>138</v>
      </c>
      <c r="E1123">
        <v>3</v>
      </c>
      <c r="H1123">
        <v>160</v>
      </c>
      <c r="I1123" t="s">
        <v>124</v>
      </c>
      <c r="J1123" t="s">
        <v>139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>"20:27:24.344"</f>
        <v>20:27:24.344</v>
      </c>
      <c r="T1123" t="str">
        <f>"20:27:24.044"</f>
        <v>20:27:24.044</v>
      </c>
      <c r="U1123" t="str">
        <f t="shared" si="126"/>
        <v>AA0632</v>
      </c>
      <c r="V1123">
        <v>0</v>
      </c>
      <c r="W1123">
        <v>0</v>
      </c>
      <c r="X1123">
        <v>2</v>
      </c>
      <c r="Y1123">
        <v>0</v>
      </c>
      <c r="AA1123">
        <v>0</v>
      </c>
      <c r="AB1123">
        <v>9</v>
      </c>
      <c r="AC1123">
        <v>3</v>
      </c>
      <c r="AD1123">
        <v>0</v>
      </c>
      <c r="AE1123">
        <v>10</v>
      </c>
      <c r="AF1123" t="s">
        <v>126</v>
      </c>
      <c r="AG1123">
        <v>0</v>
      </c>
      <c r="AH1123">
        <v>0</v>
      </c>
      <c r="AI1123">
        <v>2</v>
      </c>
      <c r="AJ1123">
        <v>0</v>
      </c>
      <c r="AK1123" t="s">
        <v>530</v>
      </c>
      <c r="AL1123">
        <v>31.922407</v>
      </c>
      <c r="AM1123" t="s">
        <v>671</v>
      </c>
      <c r="AN1123">
        <v>-100.970063</v>
      </c>
      <c r="AQ1123" t="s">
        <v>129</v>
      </c>
      <c r="AR1123">
        <v>18</v>
      </c>
      <c r="AS1123">
        <v>12</v>
      </c>
      <c r="AT1123">
        <v>-448</v>
      </c>
      <c r="BB1123" t="str">
        <f t="shared" si="127"/>
        <v>1200</v>
      </c>
      <c r="BC1123">
        <v>1</v>
      </c>
      <c r="BD1123" t="str">
        <f t="shared" si="129"/>
        <v xml:space="preserve">N745MB  </v>
      </c>
      <c r="BE1123">
        <v>1</v>
      </c>
      <c r="BG1123">
        <v>0</v>
      </c>
      <c r="BH1123">
        <v>0</v>
      </c>
      <c r="BI1123">
        <v>0</v>
      </c>
      <c r="BL1123" t="s">
        <v>130</v>
      </c>
      <c r="BM1123">
        <v>1</v>
      </c>
      <c r="BN1123">
        <v>0</v>
      </c>
      <c r="BO1123">
        <v>0</v>
      </c>
      <c r="BP1123">
        <v>0</v>
      </c>
      <c r="BT1123">
        <v>0</v>
      </c>
      <c r="BU1123">
        <v>0</v>
      </c>
      <c r="CE1123" t="str">
        <f>"20:27:24.345"</f>
        <v>20:27:24.345</v>
      </c>
      <c r="CF1123">
        <v>344575025</v>
      </c>
      <c r="CS1123">
        <v>0</v>
      </c>
      <c r="CT1123">
        <v>2</v>
      </c>
      <c r="CU1123">
        <v>0</v>
      </c>
      <c r="CV1123">
        <v>2</v>
      </c>
      <c r="CW1123">
        <v>0</v>
      </c>
      <c r="CX1123">
        <v>5</v>
      </c>
      <c r="CY1123">
        <v>7</v>
      </c>
      <c r="CZ1123" t="s">
        <v>131</v>
      </c>
      <c r="DA1123">
        <v>116</v>
      </c>
      <c r="DB1123">
        <v>0</v>
      </c>
      <c r="DC1123" t="s">
        <v>132</v>
      </c>
      <c r="DD1123" t="s">
        <v>133</v>
      </c>
      <c r="DG1123">
        <v>14742550</v>
      </c>
      <c r="DI1123">
        <v>0</v>
      </c>
      <c r="DJ1123">
        <v>1</v>
      </c>
      <c r="DK1123">
        <v>1</v>
      </c>
      <c r="DL1123">
        <v>0</v>
      </c>
      <c r="DM1123">
        <v>0</v>
      </c>
      <c r="DN1123">
        <v>0</v>
      </c>
      <c r="DO1123">
        <v>0</v>
      </c>
      <c r="DP1123">
        <v>1</v>
      </c>
      <c r="DQ1123">
        <v>0</v>
      </c>
      <c r="DR1123">
        <v>0</v>
      </c>
      <c r="DS1123">
        <v>1</v>
      </c>
    </row>
    <row r="1124" spans="1:123" x14ac:dyDescent="0.25">
      <c r="A1124" t="str">
        <f>"11/29/2023 20:27:26.071"</f>
        <v>11/29/2023 20:27:26.071</v>
      </c>
      <c r="C1124" t="str">
        <f t="shared" si="128"/>
        <v>FFDF53C0</v>
      </c>
      <c r="D1124" t="s">
        <v>123</v>
      </c>
      <c r="E1124">
        <v>1</v>
      </c>
      <c r="F1124">
        <v>1001</v>
      </c>
      <c r="G1124" t="s">
        <v>134</v>
      </c>
      <c r="J1124" t="s">
        <v>125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>"20:27:25.781"</f>
        <v>20:27:25.781</v>
      </c>
      <c r="T1124" t="str">
        <f>"20:27:25.681"</f>
        <v>20:27:25.681</v>
      </c>
      <c r="U1124" t="str">
        <f t="shared" si="126"/>
        <v>AA0632</v>
      </c>
      <c r="V1124">
        <v>0</v>
      </c>
      <c r="W1124">
        <v>0</v>
      </c>
      <c r="X1124">
        <v>2</v>
      </c>
      <c r="Y1124">
        <v>0</v>
      </c>
      <c r="AA1124">
        <v>0</v>
      </c>
      <c r="AB1124">
        <v>9</v>
      </c>
      <c r="AC1124">
        <v>3</v>
      </c>
      <c r="AD1124">
        <v>0</v>
      </c>
      <c r="AE1124">
        <v>10</v>
      </c>
      <c r="AF1124" t="s">
        <v>126</v>
      </c>
      <c r="AG1124">
        <v>0</v>
      </c>
      <c r="AH1124">
        <v>0</v>
      </c>
      <c r="AI1124">
        <v>2</v>
      </c>
      <c r="AJ1124">
        <v>0</v>
      </c>
      <c r="AK1124" t="s">
        <v>524</v>
      </c>
      <c r="AL1124">
        <v>31.922492999999999</v>
      </c>
      <c r="AM1124" t="s">
        <v>607</v>
      </c>
      <c r="AN1124">
        <v>-100.969956</v>
      </c>
      <c r="AQ1124" t="s">
        <v>129</v>
      </c>
      <c r="AR1124">
        <v>16</v>
      </c>
      <c r="AS1124">
        <v>11</v>
      </c>
      <c r="AT1124">
        <v>-384</v>
      </c>
      <c r="BB1124" t="str">
        <f t="shared" si="127"/>
        <v>1200</v>
      </c>
      <c r="BC1124">
        <v>1</v>
      </c>
      <c r="BD1124" t="str">
        <f t="shared" si="129"/>
        <v xml:space="preserve">N745MB  </v>
      </c>
      <c r="BE1124">
        <v>1</v>
      </c>
      <c r="BG1124">
        <v>0</v>
      </c>
      <c r="BH1124">
        <v>0</v>
      </c>
      <c r="BI1124">
        <v>0</v>
      </c>
      <c r="BL1124" t="s">
        <v>130</v>
      </c>
      <c r="BM1124">
        <v>1</v>
      </c>
      <c r="BN1124">
        <v>0</v>
      </c>
      <c r="BO1124">
        <v>0</v>
      </c>
      <c r="BP1124">
        <v>0</v>
      </c>
      <c r="BT1124">
        <v>0</v>
      </c>
      <c r="BU1124">
        <v>0</v>
      </c>
      <c r="CE1124" t="str">
        <f>"20:27:25.782"</f>
        <v>20:27:25.782</v>
      </c>
      <c r="CF1124">
        <v>782479212</v>
      </c>
      <c r="CS1124">
        <v>0</v>
      </c>
      <c r="CT1124">
        <v>2</v>
      </c>
      <c r="CU1124">
        <v>0</v>
      </c>
      <c r="CV1124">
        <v>2</v>
      </c>
      <c r="CW1124">
        <v>0</v>
      </c>
      <c r="CX1124">
        <v>5</v>
      </c>
      <c r="CY1124">
        <v>7</v>
      </c>
      <c r="CZ1124" t="s">
        <v>131</v>
      </c>
      <c r="DA1124">
        <v>116</v>
      </c>
      <c r="DB1124">
        <v>0</v>
      </c>
      <c r="DC1124" t="s">
        <v>132</v>
      </c>
      <c r="DD1124" t="s">
        <v>133</v>
      </c>
      <c r="DG1124">
        <v>14743708</v>
      </c>
      <c r="DI1124">
        <v>0</v>
      </c>
      <c r="DJ1124">
        <v>1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1</v>
      </c>
      <c r="DQ1124">
        <v>0</v>
      </c>
      <c r="DR1124">
        <v>0</v>
      </c>
      <c r="DS1124">
        <v>1</v>
      </c>
    </row>
    <row r="1125" spans="1:123" x14ac:dyDescent="0.25">
      <c r="A1125" t="str">
        <f>"11/29/2023 20:27:26.071"</f>
        <v>11/29/2023 20:27:26.071</v>
      </c>
      <c r="C1125" t="str">
        <f t="shared" si="128"/>
        <v>FFDF53C0</v>
      </c>
      <c r="D1125" t="s">
        <v>135</v>
      </c>
      <c r="E1125">
        <v>31</v>
      </c>
      <c r="H1125">
        <v>285</v>
      </c>
      <c r="I1125" t="s">
        <v>136</v>
      </c>
      <c r="J1125" t="s">
        <v>137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>"20:27:25.781"</f>
        <v>20:27:25.781</v>
      </c>
      <c r="T1125" t="str">
        <f>"20:27:25.681"</f>
        <v>20:27:25.681</v>
      </c>
      <c r="U1125" t="str">
        <f t="shared" si="126"/>
        <v>AA0632</v>
      </c>
      <c r="V1125">
        <v>0</v>
      </c>
      <c r="W1125">
        <v>0</v>
      </c>
      <c r="X1125">
        <v>2</v>
      </c>
      <c r="Y1125">
        <v>0</v>
      </c>
      <c r="AA1125">
        <v>0</v>
      </c>
      <c r="AB1125">
        <v>9</v>
      </c>
      <c r="AC1125">
        <v>3</v>
      </c>
      <c r="AD1125">
        <v>0</v>
      </c>
      <c r="AE1125">
        <v>10</v>
      </c>
      <c r="AF1125" t="s">
        <v>126</v>
      </c>
      <c r="AG1125">
        <v>0</v>
      </c>
      <c r="AH1125">
        <v>0</v>
      </c>
      <c r="AI1125">
        <v>2</v>
      </c>
      <c r="AJ1125">
        <v>0</v>
      </c>
      <c r="AK1125" t="s">
        <v>524</v>
      </c>
      <c r="AL1125">
        <v>31.922492999999999</v>
      </c>
      <c r="AM1125" t="s">
        <v>607</v>
      </c>
      <c r="AN1125">
        <v>-100.969956</v>
      </c>
      <c r="AQ1125" t="s">
        <v>129</v>
      </c>
      <c r="AR1125">
        <v>16</v>
      </c>
      <c r="AS1125">
        <v>11</v>
      </c>
      <c r="AT1125">
        <v>-384</v>
      </c>
      <c r="BB1125" t="str">
        <f t="shared" si="127"/>
        <v>1200</v>
      </c>
      <c r="BC1125">
        <v>1</v>
      </c>
      <c r="BD1125" t="str">
        <f t="shared" si="129"/>
        <v xml:space="preserve">N745MB  </v>
      </c>
      <c r="BE1125">
        <v>1</v>
      </c>
      <c r="BG1125">
        <v>0</v>
      </c>
      <c r="BH1125">
        <v>0</v>
      </c>
      <c r="BI1125">
        <v>0</v>
      </c>
      <c r="BL1125" t="s">
        <v>130</v>
      </c>
      <c r="BM1125">
        <v>1</v>
      </c>
      <c r="BN1125">
        <v>0</v>
      </c>
      <c r="BO1125">
        <v>0</v>
      </c>
      <c r="BP1125">
        <v>0</v>
      </c>
      <c r="BT1125">
        <v>0</v>
      </c>
      <c r="BU1125">
        <v>0</v>
      </c>
      <c r="CE1125" t="str">
        <f>"20:27:25.782"</f>
        <v>20:27:25.782</v>
      </c>
      <c r="CF1125">
        <v>782479212</v>
      </c>
      <c r="CS1125">
        <v>0</v>
      </c>
      <c r="CT1125">
        <v>2</v>
      </c>
      <c r="CU1125">
        <v>0</v>
      </c>
      <c r="CV1125">
        <v>2</v>
      </c>
      <c r="CW1125">
        <v>0</v>
      </c>
      <c r="CX1125">
        <v>5</v>
      </c>
      <c r="CY1125">
        <v>7</v>
      </c>
      <c r="CZ1125" t="s">
        <v>131</v>
      </c>
      <c r="DA1125">
        <v>116</v>
      </c>
      <c r="DB1125">
        <v>0</v>
      </c>
      <c r="DC1125" t="s">
        <v>132</v>
      </c>
      <c r="DD1125" t="s">
        <v>133</v>
      </c>
      <c r="DG1125">
        <v>14743708</v>
      </c>
      <c r="DI1125">
        <v>0</v>
      </c>
      <c r="DJ1125">
        <v>1</v>
      </c>
      <c r="DK1125">
        <v>1</v>
      </c>
      <c r="DL1125">
        <v>0</v>
      </c>
      <c r="DM1125">
        <v>0</v>
      </c>
      <c r="DN1125">
        <v>0</v>
      </c>
      <c r="DO1125">
        <v>0</v>
      </c>
      <c r="DP1125">
        <v>1</v>
      </c>
      <c r="DQ1125">
        <v>0</v>
      </c>
      <c r="DR1125">
        <v>0</v>
      </c>
      <c r="DS1125">
        <v>1</v>
      </c>
    </row>
    <row r="1126" spans="1:123" x14ac:dyDescent="0.25">
      <c r="A1126" t="str">
        <f>"11/29/2023 20:27:26.071"</f>
        <v>11/29/2023 20:27:26.071</v>
      </c>
      <c r="C1126" t="str">
        <f t="shared" si="128"/>
        <v>FFDF53C0</v>
      </c>
      <c r="D1126" t="s">
        <v>138</v>
      </c>
      <c r="E1126">
        <v>3</v>
      </c>
      <c r="H1126">
        <v>160</v>
      </c>
      <c r="I1126" t="s">
        <v>124</v>
      </c>
      <c r="J1126" t="s">
        <v>139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>"20:27:25.781"</f>
        <v>20:27:25.781</v>
      </c>
      <c r="T1126" t="str">
        <f>"20:27:25.681"</f>
        <v>20:27:25.681</v>
      </c>
      <c r="U1126" t="str">
        <f t="shared" si="126"/>
        <v>AA0632</v>
      </c>
      <c r="V1126">
        <v>0</v>
      </c>
      <c r="W1126">
        <v>0</v>
      </c>
      <c r="X1126">
        <v>2</v>
      </c>
      <c r="Y1126">
        <v>0</v>
      </c>
      <c r="AA1126">
        <v>0</v>
      </c>
      <c r="AB1126">
        <v>9</v>
      </c>
      <c r="AC1126">
        <v>3</v>
      </c>
      <c r="AD1126">
        <v>0</v>
      </c>
      <c r="AE1126">
        <v>10</v>
      </c>
      <c r="AF1126" t="s">
        <v>126</v>
      </c>
      <c r="AG1126">
        <v>0</v>
      </c>
      <c r="AH1126">
        <v>0</v>
      </c>
      <c r="AI1126">
        <v>2</v>
      </c>
      <c r="AJ1126">
        <v>0</v>
      </c>
      <c r="AK1126" t="s">
        <v>524</v>
      </c>
      <c r="AL1126">
        <v>31.922492999999999</v>
      </c>
      <c r="AM1126" t="s">
        <v>607</v>
      </c>
      <c r="AN1126">
        <v>-100.969956</v>
      </c>
      <c r="AQ1126" t="s">
        <v>129</v>
      </c>
      <c r="AR1126">
        <v>16</v>
      </c>
      <c r="AS1126">
        <v>11</v>
      </c>
      <c r="AT1126">
        <v>-384</v>
      </c>
      <c r="BB1126" t="str">
        <f t="shared" si="127"/>
        <v>1200</v>
      </c>
      <c r="BC1126">
        <v>1</v>
      </c>
      <c r="BD1126" t="str">
        <f t="shared" si="129"/>
        <v xml:space="preserve">N745MB  </v>
      </c>
      <c r="BE1126">
        <v>1</v>
      </c>
      <c r="BG1126">
        <v>0</v>
      </c>
      <c r="BH1126">
        <v>0</v>
      </c>
      <c r="BI1126">
        <v>0</v>
      </c>
      <c r="BL1126" t="s">
        <v>130</v>
      </c>
      <c r="BM1126">
        <v>1</v>
      </c>
      <c r="BN1126">
        <v>0</v>
      </c>
      <c r="BO1126">
        <v>0</v>
      </c>
      <c r="BP1126">
        <v>0</v>
      </c>
      <c r="BT1126">
        <v>0</v>
      </c>
      <c r="BU1126">
        <v>0</v>
      </c>
      <c r="CE1126" t="str">
        <f>"20:27:25.782"</f>
        <v>20:27:25.782</v>
      </c>
      <c r="CF1126">
        <v>782479212</v>
      </c>
      <c r="CS1126">
        <v>0</v>
      </c>
      <c r="CT1126">
        <v>2</v>
      </c>
      <c r="CU1126">
        <v>0</v>
      </c>
      <c r="CV1126">
        <v>2</v>
      </c>
      <c r="CW1126">
        <v>0</v>
      </c>
      <c r="CX1126">
        <v>5</v>
      </c>
      <c r="CY1126">
        <v>7</v>
      </c>
      <c r="CZ1126" t="s">
        <v>131</v>
      </c>
      <c r="DA1126">
        <v>116</v>
      </c>
      <c r="DB1126">
        <v>0</v>
      </c>
      <c r="DC1126" t="s">
        <v>132</v>
      </c>
      <c r="DD1126" t="s">
        <v>133</v>
      </c>
      <c r="DG1126">
        <v>14743708</v>
      </c>
      <c r="DI1126">
        <v>0</v>
      </c>
      <c r="DJ1126">
        <v>1</v>
      </c>
      <c r="DK1126">
        <v>1</v>
      </c>
      <c r="DL1126">
        <v>0</v>
      </c>
      <c r="DM1126">
        <v>0</v>
      </c>
      <c r="DN1126">
        <v>0</v>
      </c>
      <c r="DO1126">
        <v>0</v>
      </c>
      <c r="DP1126">
        <v>1</v>
      </c>
      <c r="DQ1126">
        <v>0</v>
      </c>
      <c r="DR1126">
        <v>0</v>
      </c>
      <c r="DS1126">
        <v>1</v>
      </c>
    </row>
    <row r="1127" spans="1:123" x14ac:dyDescent="0.25">
      <c r="A1127" t="str">
        <f>"11/29/2023 20:27:26.165"</f>
        <v>11/29/2023 20:27:26.165</v>
      </c>
      <c r="C1127" t="str">
        <f t="shared" si="128"/>
        <v>FFDF53C0</v>
      </c>
      <c r="D1127" t="s">
        <v>123</v>
      </c>
      <c r="E1127">
        <v>14</v>
      </c>
      <c r="F1127">
        <v>1014</v>
      </c>
      <c r="G1127" t="s">
        <v>124</v>
      </c>
      <c r="J1127" t="s">
        <v>125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>"20:27:25.781"</f>
        <v>20:27:25.781</v>
      </c>
      <c r="T1127" t="str">
        <f>"20:27:25.681"</f>
        <v>20:27:25.681</v>
      </c>
      <c r="U1127" t="str">
        <f t="shared" si="126"/>
        <v>AA0632</v>
      </c>
      <c r="V1127">
        <v>0</v>
      </c>
      <c r="W1127">
        <v>0</v>
      </c>
      <c r="X1127">
        <v>2</v>
      </c>
      <c r="Y1127">
        <v>0</v>
      </c>
      <c r="AA1127">
        <v>0</v>
      </c>
      <c r="AB1127">
        <v>9</v>
      </c>
      <c r="AC1127">
        <v>3</v>
      </c>
      <c r="AD1127">
        <v>0</v>
      </c>
      <c r="AE1127">
        <v>10</v>
      </c>
      <c r="AF1127" t="s">
        <v>126</v>
      </c>
      <c r="AG1127">
        <v>0</v>
      </c>
      <c r="AH1127">
        <v>0</v>
      </c>
      <c r="AI1127">
        <v>2</v>
      </c>
      <c r="AJ1127">
        <v>0</v>
      </c>
      <c r="AK1127" t="s">
        <v>524</v>
      </c>
      <c r="AL1127">
        <v>31.922492999999999</v>
      </c>
      <c r="AM1127" t="s">
        <v>607</v>
      </c>
      <c r="AN1127">
        <v>-100.969956</v>
      </c>
      <c r="AQ1127" t="s">
        <v>129</v>
      </c>
      <c r="AR1127">
        <v>16</v>
      </c>
      <c r="AS1127">
        <v>11</v>
      </c>
      <c r="AT1127">
        <v>-384</v>
      </c>
      <c r="BB1127" t="str">
        <f t="shared" si="127"/>
        <v>1200</v>
      </c>
      <c r="BC1127">
        <v>1</v>
      </c>
      <c r="BD1127" t="str">
        <f t="shared" si="129"/>
        <v xml:space="preserve">N745MB  </v>
      </c>
      <c r="BE1127">
        <v>1</v>
      </c>
      <c r="BG1127">
        <v>0</v>
      </c>
      <c r="BH1127">
        <v>0</v>
      </c>
      <c r="BI1127">
        <v>0</v>
      </c>
      <c r="BL1127" t="s">
        <v>130</v>
      </c>
      <c r="BM1127">
        <v>1</v>
      </c>
      <c r="BN1127">
        <v>0</v>
      </c>
      <c r="BO1127">
        <v>0</v>
      </c>
      <c r="BP1127">
        <v>0</v>
      </c>
      <c r="BT1127">
        <v>0</v>
      </c>
      <c r="BU1127">
        <v>0</v>
      </c>
      <c r="CE1127" t="str">
        <f>"20:27:25.782"</f>
        <v>20:27:25.782</v>
      </c>
      <c r="CF1127">
        <v>782479212</v>
      </c>
      <c r="CS1127">
        <v>0</v>
      </c>
      <c r="CT1127">
        <v>2</v>
      </c>
      <c r="CU1127">
        <v>0</v>
      </c>
      <c r="CV1127">
        <v>2</v>
      </c>
      <c r="CW1127">
        <v>0</v>
      </c>
      <c r="CX1127">
        <v>5</v>
      </c>
      <c r="CY1127">
        <v>7</v>
      </c>
      <c r="CZ1127" t="s">
        <v>131</v>
      </c>
      <c r="DA1127">
        <v>116</v>
      </c>
      <c r="DB1127">
        <v>0</v>
      </c>
      <c r="DC1127" t="s">
        <v>132</v>
      </c>
      <c r="DD1127" t="s">
        <v>133</v>
      </c>
      <c r="DG1127">
        <v>14743708</v>
      </c>
      <c r="DI1127">
        <v>0</v>
      </c>
      <c r="DJ1127">
        <v>1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1</v>
      </c>
      <c r="DQ1127">
        <v>0</v>
      </c>
      <c r="DR1127">
        <v>0</v>
      </c>
      <c r="DS1127">
        <v>1</v>
      </c>
    </row>
    <row r="1128" spans="1:123" x14ac:dyDescent="0.25">
      <c r="A1128" t="str">
        <f>"11/29/2023 20:27:42.509"</f>
        <v>11/29/2023 20:27:42.509</v>
      </c>
      <c r="C1128" t="str">
        <f t="shared" si="128"/>
        <v>FFDF53C0</v>
      </c>
      <c r="D1128" t="s">
        <v>123</v>
      </c>
      <c r="E1128">
        <v>14</v>
      </c>
      <c r="F1128">
        <v>1014</v>
      </c>
      <c r="G1128" t="s">
        <v>124</v>
      </c>
      <c r="J1128" t="s">
        <v>125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>"20:27:42.078"</f>
        <v>20:27:42.078</v>
      </c>
      <c r="T1128" t="str">
        <f>"20:27:41.978"</f>
        <v>20:27:41.978</v>
      </c>
      <c r="U1128" t="str">
        <f t="shared" si="126"/>
        <v>AA0632</v>
      </c>
      <c r="V1128">
        <v>0</v>
      </c>
      <c r="W1128">
        <v>0</v>
      </c>
      <c r="X1128">
        <v>2</v>
      </c>
      <c r="Y1128">
        <v>0</v>
      </c>
      <c r="AA1128">
        <v>0</v>
      </c>
      <c r="AB1128">
        <v>9</v>
      </c>
      <c r="AC1128">
        <v>3</v>
      </c>
      <c r="AD1128">
        <v>0</v>
      </c>
      <c r="AE1128">
        <v>10</v>
      </c>
      <c r="AF1128" t="s">
        <v>126</v>
      </c>
      <c r="AG1128">
        <v>0</v>
      </c>
      <c r="AH1128">
        <v>0</v>
      </c>
      <c r="AI1128">
        <v>2</v>
      </c>
      <c r="AJ1128">
        <v>0</v>
      </c>
      <c r="AK1128" t="s">
        <v>512</v>
      </c>
      <c r="AL1128">
        <v>31.922878999999998</v>
      </c>
      <c r="AM1128" t="s">
        <v>631</v>
      </c>
      <c r="AN1128">
        <v>-100.969291</v>
      </c>
      <c r="AQ1128" t="s">
        <v>129</v>
      </c>
      <c r="AR1128">
        <v>1</v>
      </c>
      <c r="AS1128">
        <v>2</v>
      </c>
      <c r="AT1128">
        <v>-64</v>
      </c>
      <c r="BB1128" t="str">
        <f t="shared" si="127"/>
        <v>1200</v>
      </c>
      <c r="BC1128">
        <v>1</v>
      </c>
      <c r="BD1128" t="str">
        <f t="shared" si="129"/>
        <v xml:space="preserve">N745MB  </v>
      </c>
      <c r="BE1128">
        <v>1</v>
      </c>
      <c r="BG1128">
        <v>0</v>
      </c>
      <c r="BH1128">
        <v>0</v>
      </c>
      <c r="BI1128">
        <v>0</v>
      </c>
      <c r="BL1128" t="s">
        <v>130</v>
      </c>
      <c r="BM1128">
        <v>1</v>
      </c>
      <c r="BN1128">
        <v>0</v>
      </c>
      <c r="BO1128">
        <v>0</v>
      </c>
      <c r="BP1128">
        <v>0</v>
      </c>
      <c r="BT1128">
        <v>0</v>
      </c>
      <c r="BU1128">
        <v>0</v>
      </c>
      <c r="CE1128" t="str">
        <f>"20:27:42.079"</f>
        <v>20:27:42.079</v>
      </c>
      <c r="CF1128">
        <v>79389060</v>
      </c>
      <c r="CS1128">
        <v>0</v>
      </c>
      <c r="CT1128">
        <v>2</v>
      </c>
      <c r="CU1128">
        <v>0</v>
      </c>
      <c r="CV1128">
        <v>2</v>
      </c>
      <c r="CW1128">
        <v>0</v>
      </c>
      <c r="CX1128">
        <v>2</v>
      </c>
      <c r="CY1128">
        <v>7</v>
      </c>
      <c r="CZ1128" t="s">
        <v>131</v>
      </c>
      <c r="DA1128">
        <v>116</v>
      </c>
      <c r="DB1128">
        <v>0</v>
      </c>
      <c r="DC1128" t="s">
        <v>132</v>
      </c>
      <c r="DD1128" t="s">
        <v>133</v>
      </c>
      <c r="DG1128">
        <v>14756696</v>
      </c>
      <c r="DI1128">
        <v>0</v>
      </c>
      <c r="DJ1128">
        <v>1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1</v>
      </c>
      <c r="DQ1128">
        <v>0</v>
      </c>
      <c r="DR1128">
        <v>0</v>
      </c>
      <c r="DS1128">
        <v>1</v>
      </c>
    </row>
    <row r="1129" spans="1:123" x14ac:dyDescent="0.25">
      <c r="A1129" t="str">
        <f>"11/29/2023 20:27:42.509"</f>
        <v>11/29/2023 20:27:42.509</v>
      </c>
      <c r="C1129" t="str">
        <f t="shared" si="128"/>
        <v>FFDF53C0</v>
      </c>
      <c r="D1129" t="s">
        <v>135</v>
      </c>
      <c r="E1129">
        <v>31</v>
      </c>
      <c r="H1129">
        <v>285</v>
      </c>
      <c r="I1129" t="s">
        <v>136</v>
      </c>
      <c r="J1129" t="s">
        <v>137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>"20:27:42.078"</f>
        <v>20:27:42.078</v>
      </c>
      <c r="T1129" t="str">
        <f>"20:27:41.978"</f>
        <v>20:27:41.978</v>
      </c>
      <c r="U1129" t="str">
        <f t="shared" si="126"/>
        <v>AA0632</v>
      </c>
      <c r="V1129">
        <v>0</v>
      </c>
      <c r="W1129">
        <v>0</v>
      </c>
      <c r="X1129">
        <v>2</v>
      </c>
      <c r="Y1129">
        <v>0</v>
      </c>
      <c r="AA1129">
        <v>0</v>
      </c>
      <c r="AB1129">
        <v>9</v>
      </c>
      <c r="AC1129">
        <v>3</v>
      </c>
      <c r="AD1129">
        <v>0</v>
      </c>
      <c r="AE1129">
        <v>10</v>
      </c>
      <c r="AF1129" t="s">
        <v>126</v>
      </c>
      <c r="AG1129">
        <v>0</v>
      </c>
      <c r="AH1129">
        <v>0</v>
      </c>
      <c r="AI1129">
        <v>2</v>
      </c>
      <c r="AJ1129">
        <v>0</v>
      </c>
      <c r="AK1129" t="s">
        <v>512</v>
      </c>
      <c r="AL1129">
        <v>31.922878999999998</v>
      </c>
      <c r="AM1129" t="s">
        <v>631</v>
      </c>
      <c r="AN1129">
        <v>-100.969291</v>
      </c>
      <c r="AQ1129" t="s">
        <v>129</v>
      </c>
      <c r="AR1129">
        <v>1</v>
      </c>
      <c r="AS1129">
        <v>2</v>
      </c>
      <c r="AT1129">
        <v>-64</v>
      </c>
      <c r="BB1129" t="str">
        <f t="shared" si="127"/>
        <v>1200</v>
      </c>
      <c r="BC1129">
        <v>1</v>
      </c>
      <c r="BD1129" t="str">
        <f t="shared" si="129"/>
        <v xml:space="preserve">N745MB  </v>
      </c>
      <c r="BE1129">
        <v>1</v>
      </c>
      <c r="BG1129">
        <v>0</v>
      </c>
      <c r="BH1129">
        <v>0</v>
      </c>
      <c r="BI1129">
        <v>0</v>
      </c>
      <c r="BL1129" t="s">
        <v>130</v>
      </c>
      <c r="BM1129">
        <v>1</v>
      </c>
      <c r="BN1129">
        <v>0</v>
      </c>
      <c r="BO1129">
        <v>0</v>
      </c>
      <c r="BP1129">
        <v>0</v>
      </c>
      <c r="BT1129">
        <v>0</v>
      </c>
      <c r="BU1129">
        <v>0</v>
      </c>
      <c r="CE1129" t="str">
        <f>"20:27:42.079"</f>
        <v>20:27:42.079</v>
      </c>
      <c r="CF1129">
        <v>79389060</v>
      </c>
      <c r="CS1129">
        <v>0</v>
      </c>
      <c r="CT1129">
        <v>2</v>
      </c>
      <c r="CU1129">
        <v>0</v>
      </c>
      <c r="CV1129">
        <v>2</v>
      </c>
      <c r="CW1129">
        <v>0</v>
      </c>
      <c r="CX1129">
        <v>2</v>
      </c>
      <c r="CY1129">
        <v>7</v>
      </c>
      <c r="CZ1129" t="s">
        <v>131</v>
      </c>
      <c r="DA1129">
        <v>116</v>
      </c>
      <c r="DB1129">
        <v>0</v>
      </c>
      <c r="DC1129" t="s">
        <v>132</v>
      </c>
      <c r="DD1129" t="s">
        <v>133</v>
      </c>
      <c r="DG1129">
        <v>14756696</v>
      </c>
      <c r="DI1129">
        <v>0</v>
      </c>
      <c r="DJ1129">
        <v>1</v>
      </c>
      <c r="DK1129">
        <v>1</v>
      </c>
      <c r="DL1129">
        <v>0</v>
      </c>
      <c r="DM1129">
        <v>0</v>
      </c>
      <c r="DN1129">
        <v>0</v>
      </c>
      <c r="DO1129">
        <v>0</v>
      </c>
      <c r="DP1129">
        <v>1</v>
      </c>
      <c r="DQ1129">
        <v>0</v>
      </c>
      <c r="DR1129">
        <v>0</v>
      </c>
      <c r="DS1129">
        <v>1</v>
      </c>
    </row>
    <row r="1130" spans="1:123" x14ac:dyDescent="0.25">
      <c r="A1130" t="str">
        <f>"11/29/2023 20:27:42.509"</f>
        <v>11/29/2023 20:27:42.509</v>
      </c>
      <c r="C1130" t="str">
        <f t="shared" si="128"/>
        <v>FFDF53C0</v>
      </c>
      <c r="D1130" t="s">
        <v>123</v>
      </c>
      <c r="E1130">
        <v>1</v>
      </c>
      <c r="F1130">
        <v>1001</v>
      </c>
      <c r="G1130" t="s">
        <v>134</v>
      </c>
      <c r="J1130" t="s">
        <v>125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>"20:27:42.078"</f>
        <v>20:27:42.078</v>
      </c>
      <c r="T1130" t="str">
        <f>"20:27:41.978"</f>
        <v>20:27:41.978</v>
      </c>
      <c r="U1130" t="str">
        <f t="shared" si="126"/>
        <v>AA0632</v>
      </c>
      <c r="V1130">
        <v>0</v>
      </c>
      <c r="W1130">
        <v>0</v>
      </c>
      <c r="X1130">
        <v>2</v>
      </c>
      <c r="Y1130">
        <v>0</v>
      </c>
      <c r="AA1130">
        <v>0</v>
      </c>
      <c r="AB1130">
        <v>9</v>
      </c>
      <c r="AC1130">
        <v>3</v>
      </c>
      <c r="AD1130">
        <v>0</v>
      </c>
      <c r="AE1130">
        <v>10</v>
      </c>
      <c r="AF1130" t="s">
        <v>126</v>
      </c>
      <c r="AG1130">
        <v>0</v>
      </c>
      <c r="AH1130">
        <v>0</v>
      </c>
      <c r="AI1130">
        <v>2</v>
      </c>
      <c r="AJ1130">
        <v>0</v>
      </c>
      <c r="AK1130" t="s">
        <v>512</v>
      </c>
      <c r="AL1130">
        <v>31.922878999999998</v>
      </c>
      <c r="AM1130" t="s">
        <v>631</v>
      </c>
      <c r="AN1130">
        <v>-100.969291</v>
      </c>
      <c r="AQ1130" t="s">
        <v>129</v>
      </c>
      <c r="AR1130">
        <v>1</v>
      </c>
      <c r="AS1130">
        <v>2</v>
      </c>
      <c r="AT1130">
        <v>-64</v>
      </c>
      <c r="BB1130" t="str">
        <f t="shared" si="127"/>
        <v>1200</v>
      </c>
      <c r="BC1130">
        <v>1</v>
      </c>
      <c r="BD1130" t="str">
        <f t="shared" si="129"/>
        <v xml:space="preserve">N745MB  </v>
      </c>
      <c r="BE1130">
        <v>1</v>
      </c>
      <c r="BG1130">
        <v>0</v>
      </c>
      <c r="BH1130">
        <v>0</v>
      </c>
      <c r="BI1130">
        <v>0</v>
      </c>
      <c r="BL1130" t="s">
        <v>130</v>
      </c>
      <c r="BM1130">
        <v>1</v>
      </c>
      <c r="BN1130">
        <v>0</v>
      </c>
      <c r="BO1130">
        <v>0</v>
      </c>
      <c r="BP1130">
        <v>0</v>
      </c>
      <c r="BT1130">
        <v>0</v>
      </c>
      <c r="BU1130">
        <v>0</v>
      </c>
      <c r="CE1130" t="str">
        <f>"20:27:42.079"</f>
        <v>20:27:42.079</v>
      </c>
      <c r="CF1130">
        <v>79389060</v>
      </c>
      <c r="CS1130">
        <v>0</v>
      </c>
      <c r="CT1130">
        <v>2</v>
      </c>
      <c r="CU1130">
        <v>0</v>
      </c>
      <c r="CV1130">
        <v>2</v>
      </c>
      <c r="CW1130">
        <v>0</v>
      </c>
      <c r="CX1130">
        <v>2</v>
      </c>
      <c r="CY1130">
        <v>7</v>
      </c>
      <c r="CZ1130" t="s">
        <v>131</v>
      </c>
      <c r="DA1130">
        <v>116</v>
      </c>
      <c r="DB1130">
        <v>0</v>
      </c>
      <c r="DC1130" t="s">
        <v>132</v>
      </c>
      <c r="DD1130" t="s">
        <v>133</v>
      </c>
      <c r="DG1130">
        <v>14756696</v>
      </c>
      <c r="DI1130">
        <v>0</v>
      </c>
      <c r="DJ1130">
        <v>1</v>
      </c>
      <c r="DK1130">
        <v>1</v>
      </c>
      <c r="DL1130">
        <v>0</v>
      </c>
      <c r="DM1130">
        <v>0</v>
      </c>
      <c r="DN1130">
        <v>0</v>
      </c>
      <c r="DO1130">
        <v>0</v>
      </c>
      <c r="DP1130">
        <v>1</v>
      </c>
      <c r="DQ1130">
        <v>0</v>
      </c>
      <c r="DR1130">
        <v>0</v>
      </c>
      <c r="DS1130">
        <v>1</v>
      </c>
    </row>
    <row r="1131" spans="1:123" x14ac:dyDescent="0.25">
      <c r="A1131" t="str">
        <f>"11/29/2023 20:27:42.509"</f>
        <v>11/29/2023 20:27:42.509</v>
      </c>
      <c r="C1131" t="str">
        <f t="shared" si="128"/>
        <v>FFDF53C0</v>
      </c>
      <c r="D1131" t="s">
        <v>138</v>
      </c>
      <c r="E1131">
        <v>3</v>
      </c>
      <c r="H1131">
        <v>160</v>
      </c>
      <c r="I1131" t="s">
        <v>124</v>
      </c>
      <c r="J1131" t="s">
        <v>139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>"20:27:42.078"</f>
        <v>20:27:42.078</v>
      </c>
      <c r="T1131" t="str">
        <f>"20:27:41.978"</f>
        <v>20:27:41.978</v>
      </c>
      <c r="U1131" t="str">
        <f t="shared" si="126"/>
        <v>AA0632</v>
      </c>
      <c r="V1131">
        <v>0</v>
      </c>
      <c r="W1131">
        <v>0</v>
      </c>
      <c r="X1131">
        <v>2</v>
      </c>
      <c r="Y1131">
        <v>0</v>
      </c>
      <c r="AA1131">
        <v>0</v>
      </c>
      <c r="AB1131">
        <v>9</v>
      </c>
      <c r="AC1131">
        <v>3</v>
      </c>
      <c r="AD1131">
        <v>0</v>
      </c>
      <c r="AE1131">
        <v>10</v>
      </c>
      <c r="AF1131" t="s">
        <v>126</v>
      </c>
      <c r="AG1131">
        <v>0</v>
      </c>
      <c r="AH1131">
        <v>0</v>
      </c>
      <c r="AI1131">
        <v>2</v>
      </c>
      <c r="AJ1131">
        <v>0</v>
      </c>
      <c r="AK1131" t="s">
        <v>512</v>
      </c>
      <c r="AL1131">
        <v>31.922878999999998</v>
      </c>
      <c r="AM1131" t="s">
        <v>631</v>
      </c>
      <c r="AN1131">
        <v>-100.969291</v>
      </c>
      <c r="AQ1131" t="s">
        <v>129</v>
      </c>
      <c r="AR1131">
        <v>1</v>
      </c>
      <c r="AS1131">
        <v>2</v>
      </c>
      <c r="AT1131">
        <v>-64</v>
      </c>
      <c r="BB1131" t="str">
        <f t="shared" si="127"/>
        <v>1200</v>
      </c>
      <c r="BC1131">
        <v>1</v>
      </c>
      <c r="BD1131" t="str">
        <f t="shared" si="129"/>
        <v xml:space="preserve">N745MB  </v>
      </c>
      <c r="BE1131">
        <v>1</v>
      </c>
      <c r="BG1131">
        <v>0</v>
      </c>
      <c r="BH1131">
        <v>0</v>
      </c>
      <c r="BI1131">
        <v>0</v>
      </c>
      <c r="BL1131" t="s">
        <v>130</v>
      </c>
      <c r="BM1131">
        <v>1</v>
      </c>
      <c r="BN1131">
        <v>0</v>
      </c>
      <c r="BO1131">
        <v>0</v>
      </c>
      <c r="BP1131">
        <v>0</v>
      </c>
      <c r="BT1131">
        <v>0</v>
      </c>
      <c r="BU1131">
        <v>0</v>
      </c>
      <c r="CE1131" t="str">
        <f>"20:27:42.079"</f>
        <v>20:27:42.079</v>
      </c>
      <c r="CF1131">
        <v>79389060</v>
      </c>
      <c r="CS1131">
        <v>0</v>
      </c>
      <c r="CT1131">
        <v>2</v>
      </c>
      <c r="CU1131">
        <v>0</v>
      </c>
      <c r="CV1131">
        <v>2</v>
      </c>
      <c r="CW1131">
        <v>0</v>
      </c>
      <c r="CX1131">
        <v>2</v>
      </c>
      <c r="CY1131">
        <v>7</v>
      </c>
      <c r="CZ1131" t="s">
        <v>131</v>
      </c>
      <c r="DA1131">
        <v>116</v>
      </c>
      <c r="DB1131">
        <v>0</v>
      </c>
      <c r="DC1131" t="s">
        <v>132</v>
      </c>
      <c r="DD1131" t="s">
        <v>133</v>
      </c>
      <c r="DG1131">
        <v>14756696</v>
      </c>
      <c r="DI1131">
        <v>0</v>
      </c>
      <c r="DJ1131">
        <v>1</v>
      </c>
      <c r="DK1131">
        <v>1</v>
      </c>
      <c r="DL1131">
        <v>0</v>
      </c>
      <c r="DM1131">
        <v>0</v>
      </c>
      <c r="DN1131">
        <v>0</v>
      </c>
      <c r="DO1131">
        <v>0</v>
      </c>
      <c r="DP1131">
        <v>1</v>
      </c>
      <c r="DQ1131">
        <v>0</v>
      </c>
      <c r="DR1131">
        <v>0</v>
      </c>
      <c r="DS1131">
        <v>1</v>
      </c>
    </row>
    <row r="1132" spans="1:123" x14ac:dyDescent="0.25">
      <c r="A1132" t="str">
        <f>"11/29/2023 20:27:44.227"</f>
        <v>11/29/2023 20:27:44.227</v>
      </c>
      <c r="C1132" t="str">
        <f t="shared" si="128"/>
        <v>FFDF53C0</v>
      </c>
      <c r="D1132" t="s">
        <v>123</v>
      </c>
      <c r="E1132">
        <v>14</v>
      </c>
      <c r="F1132">
        <v>1014</v>
      </c>
      <c r="G1132" t="s">
        <v>124</v>
      </c>
      <c r="J1132" t="s">
        <v>125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>"20:27:43.617"</f>
        <v>20:27:43.617</v>
      </c>
      <c r="T1132" t="str">
        <f>"20:27:43.517"</f>
        <v>20:27:43.517</v>
      </c>
      <c r="U1132" t="str">
        <f t="shared" si="126"/>
        <v>AA0632</v>
      </c>
      <c r="V1132">
        <v>0</v>
      </c>
      <c r="W1132">
        <v>0</v>
      </c>
      <c r="X1132">
        <v>2</v>
      </c>
      <c r="Y1132">
        <v>0</v>
      </c>
      <c r="AA1132">
        <v>0</v>
      </c>
      <c r="AB1132">
        <v>9</v>
      </c>
      <c r="AC1132">
        <v>3</v>
      </c>
      <c r="AD1132">
        <v>0</v>
      </c>
      <c r="AE1132">
        <v>10</v>
      </c>
      <c r="AF1132" t="s">
        <v>126</v>
      </c>
      <c r="AG1132">
        <v>0</v>
      </c>
      <c r="AH1132">
        <v>0</v>
      </c>
      <c r="AI1132">
        <v>2</v>
      </c>
      <c r="AJ1132">
        <v>0</v>
      </c>
      <c r="AK1132" t="s">
        <v>512</v>
      </c>
      <c r="AL1132">
        <v>31.922878999999998</v>
      </c>
      <c r="AM1132" t="s">
        <v>631</v>
      </c>
      <c r="AN1132">
        <v>-100.969291</v>
      </c>
      <c r="AQ1132" t="s">
        <v>129</v>
      </c>
      <c r="AR1132">
        <v>1</v>
      </c>
      <c r="AS1132">
        <v>2</v>
      </c>
      <c r="AT1132">
        <v>-64</v>
      </c>
      <c r="BB1132" t="str">
        <f t="shared" si="127"/>
        <v>1200</v>
      </c>
      <c r="BC1132">
        <v>1</v>
      </c>
      <c r="BD1132" t="str">
        <f t="shared" si="129"/>
        <v xml:space="preserve">N745MB  </v>
      </c>
      <c r="BE1132">
        <v>1</v>
      </c>
      <c r="BG1132">
        <v>0</v>
      </c>
      <c r="BH1132">
        <v>0</v>
      </c>
      <c r="BI1132">
        <v>0</v>
      </c>
      <c r="BL1132" t="s">
        <v>130</v>
      </c>
      <c r="BM1132">
        <v>1</v>
      </c>
      <c r="BN1132">
        <v>0</v>
      </c>
      <c r="BO1132">
        <v>0</v>
      </c>
      <c r="BP1132">
        <v>0</v>
      </c>
      <c r="BT1132">
        <v>0</v>
      </c>
      <c r="BU1132">
        <v>0</v>
      </c>
      <c r="CE1132" t="str">
        <f>"20:27:43.619"</f>
        <v>20:27:43.619</v>
      </c>
      <c r="CF1132">
        <v>619288241</v>
      </c>
      <c r="CS1132">
        <v>0</v>
      </c>
      <c r="CT1132">
        <v>2</v>
      </c>
      <c r="CU1132">
        <v>0</v>
      </c>
      <c r="CV1132">
        <v>2</v>
      </c>
      <c r="CW1132">
        <v>0</v>
      </c>
      <c r="CX1132">
        <v>3</v>
      </c>
      <c r="CY1132">
        <v>7</v>
      </c>
      <c r="CZ1132" t="s">
        <v>131</v>
      </c>
      <c r="DA1132">
        <v>116</v>
      </c>
      <c r="DB1132">
        <v>0</v>
      </c>
      <c r="DC1132" t="s">
        <v>132</v>
      </c>
      <c r="DD1132" t="s">
        <v>133</v>
      </c>
      <c r="DG1132">
        <v>14758011</v>
      </c>
      <c r="DI1132">
        <v>0</v>
      </c>
      <c r="DJ1132">
        <v>1</v>
      </c>
      <c r="DK1132">
        <v>0</v>
      </c>
      <c r="DL1132">
        <v>0</v>
      </c>
      <c r="DM1132">
        <v>0</v>
      </c>
      <c r="DN1132">
        <v>0</v>
      </c>
      <c r="DO1132">
        <v>0</v>
      </c>
      <c r="DP1132">
        <v>1</v>
      </c>
      <c r="DQ1132">
        <v>0</v>
      </c>
      <c r="DR1132">
        <v>0</v>
      </c>
      <c r="DS1132">
        <v>1</v>
      </c>
    </row>
    <row r="1133" spans="1:123" x14ac:dyDescent="0.25">
      <c r="A1133" t="str">
        <f>"11/29/2023 20:27:44.290"</f>
        <v>11/29/2023 20:27:44.290</v>
      </c>
      <c r="C1133" t="str">
        <f t="shared" si="128"/>
        <v>FFDF53C0</v>
      </c>
      <c r="D1133" t="s">
        <v>135</v>
      </c>
      <c r="E1133">
        <v>31</v>
      </c>
      <c r="H1133">
        <v>285</v>
      </c>
      <c r="I1133" t="s">
        <v>136</v>
      </c>
      <c r="J1133" t="s">
        <v>137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>"20:27:43.617"</f>
        <v>20:27:43.617</v>
      </c>
      <c r="T1133" t="str">
        <f>"20:27:43.517"</f>
        <v>20:27:43.517</v>
      </c>
      <c r="U1133" t="str">
        <f t="shared" si="126"/>
        <v>AA0632</v>
      </c>
      <c r="V1133">
        <v>0</v>
      </c>
      <c r="W1133">
        <v>0</v>
      </c>
      <c r="X1133">
        <v>2</v>
      </c>
      <c r="Y1133">
        <v>0</v>
      </c>
      <c r="AA1133">
        <v>0</v>
      </c>
      <c r="AB1133">
        <v>9</v>
      </c>
      <c r="AC1133">
        <v>3</v>
      </c>
      <c r="AD1133">
        <v>0</v>
      </c>
      <c r="AE1133">
        <v>10</v>
      </c>
      <c r="AF1133" t="s">
        <v>126</v>
      </c>
      <c r="AG1133">
        <v>0</v>
      </c>
      <c r="AH1133">
        <v>0</v>
      </c>
      <c r="AI1133">
        <v>2</v>
      </c>
      <c r="AJ1133">
        <v>0</v>
      </c>
      <c r="AK1133" t="s">
        <v>512</v>
      </c>
      <c r="AL1133">
        <v>31.922878999999998</v>
      </c>
      <c r="AM1133" t="s">
        <v>631</v>
      </c>
      <c r="AN1133">
        <v>-100.969291</v>
      </c>
      <c r="AQ1133" t="s">
        <v>129</v>
      </c>
      <c r="AR1133">
        <v>1</v>
      </c>
      <c r="AS1133">
        <v>2</v>
      </c>
      <c r="AT1133">
        <v>-64</v>
      </c>
      <c r="BB1133" t="str">
        <f t="shared" si="127"/>
        <v>1200</v>
      </c>
      <c r="BC1133">
        <v>1</v>
      </c>
      <c r="BD1133" t="str">
        <f t="shared" si="129"/>
        <v xml:space="preserve">N745MB  </v>
      </c>
      <c r="BE1133">
        <v>1</v>
      </c>
      <c r="BG1133">
        <v>0</v>
      </c>
      <c r="BH1133">
        <v>0</v>
      </c>
      <c r="BI1133">
        <v>0</v>
      </c>
      <c r="BL1133" t="s">
        <v>130</v>
      </c>
      <c r="BM1133">
        <v>1</v>
      </c>
      <c r="BN1133">
        <v>0</v>
      </c>
      <c r="BO1133">
        <v>0</v>
      </c>
      <c r="BP1133">
        <v>0</v>
      </c>
      <c r="BT1133">
        <v>0</v>
      </c>
      <c r="BU1133">
        <v>0</v>
      </c>
      <c r="CE1133" t="str">
        <f>"20:27:43.619"</f>
        <v>20:27:43.619</v>
      </c>
      <c r="CF1133">
        <v>619288241</v>
      </c>
      <c r="CS1133">
        <v>0</v>
      </c>
      <c r="CT1133">
        <v>2</v>
      </c>
      <c r="CU1133">
        <v>0</v>
      </c>
      <c r="CV1133">
        <v>2</v>
      </c>
      <c r="CW1133">
        <v>0</v>
      </c>
      <c r="CX1133">
        <v>3</v>
      </c>
      <c r="CY1133">
        <v>7</v>
      </c>
      <c r="CZ1133" t="s">
        <v>131</v>
      </c>
      <c r="DA1133">
        <v>116</v>
      </c>
      <c r="DB1133">
        <v>0</v>
      </c>
      <c r="DC1133" t="s">
        <v>132</v>
      </c>
      <c r="DD1133" t="s">
        <v>133</v>
      </c>
      <c r="DG1133">
        <v>14758011</v>
      </c>
      <c r="DI1133">
        <v>0</v>
      </c>
      <c r="DJ1133">
        <v>1</v>
      </c>
      <c r="DK1133">
        <v>1</v>
      </c>
      <c r="DL1133">
        <v>0</v>
      </c>
      <c r="DM1133">
        <v>0</v>
      </c>
      <c r="DN1133">
        <v>0</v>
      </c>
      <c r="DO1133">
        <v>0</v>
      </c>
      <c r="DP1133">
        <v>1</v>
      </c>
      <c r="DQ1133">
        <v>0</v>
      </c>
      <c r="DR1133">
        <v>0</v>
      </c>
      <c r="DS1133">
        <v>1</v>
      </c>
    </row>
    <row r="1134" spans="1:123" x14ac:dyDescent="0.25">
      <c r="A1134" t="str">
        <f>"11/29/2023 20:27:44.290"</f>
        <v>11/29/2023 20:27:44.290</v>
      </c>
      <c r="C1134" t="str">
        <f t="shared" si="128"/>
        <v>FFDF53C0</v>
      </c>
      <c r="D1134" t="s">
        <v>123</v>
      </c>
      <c r="E1134">
        <v>1</v>
      </c>
      <c r="F1134">
        <v>1001</v>
      </c>
      <c r="G1134" t="s">
        <v>134</v>
      </c>
      <c r="J1134" t="s">
        <v>125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>"20:27:43.617"</f>
        <v>20:27:43.617</v>
      </c>
      <c r="T1134" t="str">
        <f>"20:27:43.517"</f>
        <v>20:27:43.517</v>
      </c>
      <c r="U1134" t="str">
        <f t="shared" si="126"/>
        <v>AA0632</v>
      </c>
      <c r="V1134">
        <v>0</v>
      </c>
      <c r="W1134">
        <v>0</v>
      </c>
      <c r="X1134">
        <v>2</v>
      </c>
      <c r="Y1134">
        <v>0</v>
      </c>
      <c r="AA1134">
        <v>0</v>
      </c>
      <c r="AB1134">
        <v>9</v>
      </c>
      <c r="AC1134">
        <v>3</v>
      </c>
      <c r="AD1134">
        <v>0</v>
      </c>
      <c r="AE1134">
        <v>10</v>
      </c>
      <c r="AF1134" t="s">
        <v>126</v>
      </c>
      <c r="AG1134">
        <v>0</v>
      </c>
      <c r="AH1134">
        <v>0</v>
      </c>
      <c r="AI1134">
        <v>2</v>
      </c>
      <c r="AJ1134">
        <v>0</v>
      </c>
      <c r="AK1134" t="s">
        <v>512</v>
      </c>
      <c r="AL1134">
        <v>31.922878999999998</v>
      </c>
      <c r="AM1134" t="s">
        <v>631</v>
      </c>
      <c r="AN1134">
        <v>-100.969291</v>
      </c>
      <c r="AQ1134" t="s">
        <v>129</v>
      </c>
      <c r="AR1134">
        <v>1</v>
      </c>
      <c r="AS1134">
        <v>2</v>
      </c>
      <c r="AT1134">
        <v>-64</v>
      </c>
      <c r="BB1134" t="str">
        <f t="shared" si="127"/>
        <v>1200</v>
      </c>
      <c r="BC1134">
        <v>1</v>
      </c>
      <c r="BD1134" t="str">
        <f t="shared" si="129"/>
        <v xml:space="preserve">N745MB  </v>
      </c>
      <c r="BE1134">
        <v>1</v>
      </c>
      <c r="BG1134">
        <v>0</v>
      </c>
      <c r="BH1134">
        <v>0</v>
      </c>
      <c r="BI1134">
        <v>0</v>
      </c>
      <c r="BL1134" t="s">
        <v>130</v>
      </c>
      <c r="BM1134">
        <v>1</v>
      </c>
      <c r="BN1134">
        <v>0</v>
      </c>
      <c r="BO1134">
        <v>0</v>
      </c>
      <c r="BP1134">
        <v>0</v>
      </c>
      <c r="BT1134">
        <v>0</v>
      </c>
      <c r="BU1134">
        <v>0</v>
      </c>
      <c r="CE1134" t="str">
        <f>"20:27:43.619"</f>
        <v>20:27:43.619</v>
      </c>
      <c r="CF1134">
        <v>619288241</v>
      </c>
      <c r="CS1134">
        <v>0</v>
      </c>
      <c r="CT1134">
        <v>2</v>
      </c>
      <c r="CU1134">
        <v>0</v>
      </c>
      <c r="CV1134">
        <v>2</v>
      </c>
      <c r="CW1134">
        <v>0</v>
      </c>
      <c r="CX1134">
        <v>3</v>
      </c>
      <c r="CY1134">
        <v>7</v>
      </c>
      <c r="CZ1134" t="s">
        <v>131</v>
      </c>
      <c r="DA1134">
        <v>116</v>
      </c>
      <c r="DB1134">
        <v>0</v>
      </c>
      <c r="DC1134" t="s">
        <v>132</v>
      </c>
      <c r="DD1134" t="s">
        <v>133</v>
      </c>
      <c r="DG1134">
        <v>14758011</v>
      </c>
      <c r="DI1134">
        <v>0</v>
      </c>
      <c r="DJ1134">
        <v>1</v>
      </c>
      <c r="DK1134">
        <v>1</v>
      </c>
      <c r="DL1134">
        <v>0</v>
      </c>
      <c r="DM1134">
        <v>0</v>
      </c>
      <c r="DN1134">
        <v>0</v>
      </c>
      <c r="DO1134">
        <v>0</v>
      </c>
      <c r="DP1134">
        <v>1</v>
      </c>
      <c r="DQ1134">
        <v>0</v>
      </c>
      <c r="DR1134">
        <v>0</v>
      </c>
      <c r="DS1134">
        <v>1</v>
      </c>
    </row>
    <row r="1135" spans="1:123" x14ac:dyDescent="0.25">
      <c r="A1135" t="str">
        <f>"11/29/2023 20:27:44.290"</f>
        <v>11/29/2023 20:27:44.290</v>
      </c>
      <c r="C1135" t="str">
        <f t="shared" si="128"/>
        <v>FFDF53C0</v>
      </c>
      <c r="D1135" t="s">
        <v>138</v>
      </c>
      <c r="E1135">
        <v>3</v>
      </c>
      <c r="H1135">
        <v>160</v>
      </c>
      <c r="I1135" t="s">
        <v>124</v>
      </c>
      <c r="J1135" t="s">
        <v>139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>"20:27:43.617"</f>
        <v>20:27:43.617</v>
      </c>
      <c r="T1135" t="str">
        <f>"20:27:43.517"</f>
        <v>20:27:43.517</v>
      </c>
      <c r="U1135" t="str">
        <f t="shared" si="126"/>
        <v>AA0632</v>
      </c>
      <c r="V1135">
        <v>0</v>
      </c>
      <c r="W1135">
        <v>0</v>
      </c>
      <c r="X1135">
        <v>2</v>
      </c>
      <c r="Y1135">
        <v>0</v>
      </c>
      <c r="AA1135">
        <v>0</v>
      </c>
      <c r="AB1135">
        <v>9</v>
      </c>
      <c r="AC1135">
        <v>3</v>
      </c>
      <c r="AD1135">
        <v>0</v>
      </c>
      <c r="AE1135">
        <v>10</v>
      </c>
      <c r="AF1135" t="s">
        <v>126</v>
      </c>
      <c r="AG1135">
        <v>0</v>
      </c>
      <c r="AH1135">
        <v>0</v>
      </c>
      <c r="AI1135">
        <v>2</v>
      </c>
      <c r="AJ1135">
        <v>0</v>
      </c>
      <c r="AK1135" t="s">
        <v>512</v>
      </c>
      <c r="AL1135">
        <v>31.922878999999998</v>
      </c>
      <c r="AM1135" t="s">
        <v>631</v>
      </c>
      <c r="AN1135">
        <v>-100.969291</v>
      </c>
      <c r="AQ1135" t="s">
        <v>129</v>
      </c>
      <c r="AR1135">
        <v>1</v>
      </c>
      <c r="AS1135">
        <v>2</v>
      </c>
      <c r="AT1135">
        <v>-64</v>
      </c>
      <c r="BB1135" t="str">
        <f t="shared" si="127"/>
        <v>1200</v>
      </c>
      <c r="BC1135">
        <v>1</v>
      </c>
      <c r="BD1135" t="str">
        <f t="shared" si="129"/>
        <v xml:space="preserve">N745MB  </v>
      </c>
      <c r="BE1135">
        <v>1</v>
      </c>
      <c r="BG1135">
        <v>0</v>
      </c>
      <c r="BH1135">
        <v>0</v>
      </c>
      <c r="BI1135">
        <v>0</v>
      </c>
      <c r="BL1135" t="s">
        <v>130</v>
      </c>
      <c r="BM1135">
        <v>1</v>
      </c>
      <c r="BN1135">
        <v>0</v>
      </c>
      <c r="BO1135">
        <v>0</v>
      </c>
      <c r="BP1135">
        <v>0</v>
      </c>
      <c r="BT1135">
        <v>0</v>
      </c>
      <c r="BU1135">
        <v>0</v>
      </c>
      <c r="CE1135" t="str">
        <f>"20:27:43.619"</f>
        <v>20:27:43.619</v>
      </c>
      <c r="CF1135">
        <v>619288241</v>
      </c>
      <c r="CS1135">
        <v>0</v>
      </c>
      <c r="CT1135">
        <v>2</v>
      </c>
      <c r="CU1135">
        <v>0</v>
      </c>
      <c r="CV1135">
        <v>2</v>
      </c>
      <c r="CW1135">
        <v>0</v>
      </c>
      <c r="CX1135">
        <v>3</v>
      </c>
      <c r="CY1135">
        <v>7</v>
      </c>
      <c r="CZ1135" t="s">
        <v>131</v>
      </c>
      <c r="DA1135">
        <v>116</v>
      </c>
      <c r="DB1135">
        <v>0</v>
      </c>
      <c r="DC1135" t="s">
        <v>132</v>
      </c>
      <c r="DD1135" t="s">
        <v>133</v>
      </c>
      <c r="DG1135">
        <v>14758011</v>
      </c>
      <c r="DI1135">
        <v>0</v>
      </c>
      <c r="DJ1135">
        <v>1</v>
      </c>
      <c r="DK1135">
        <v>1</v>
      </c>
      <c r="DL1135">
        <v>0</v>
      </c>
      <c r="DM1135">
        <v>0</v>
      </c>
      <c r="DN1135">
        <v>0</v>
      </c>
      <c r="DO1135">
        <v>0</v>
      </c>
      <c r="DP1135">
        <v>1</v>
      </c>
      <c r="DQ1135">
        <v>0</v>
      </c>
      <c r="DR1135">
        <v>0</v>
      </c>
      <c r="DS1135">
        <v>1</v>
      </c>
    </row>
    <row r="1136" spans="1:123" x14ac:dyDescent="0.25">
      <c r="A1136" t="str">
        <f>"11/29/2023 20:27:45.181"</f>
        <v>11/29/2023 20:27:45.181</v>
      </c>
      <c r="C1136" t="str">
        <f t="shared" si="128"/>
        <v>FFDF53C0</v>
      </c>
      <c r="D1136" t="s">
        <v>123</v>
      </c>
      <c r="E1136">
        <v>14</v>
      </c>
      <c r="F1136">
        <v>1014</v>
      </c>
      <c r="G1136" t="s">
        <v>124</v>
      </c>
      <c r="J1136" t="s">
        <v>125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>"20:27:44.695"</f>
        <v>20:27:44.695</v>
      </c>
      <c r="T1136" t="str">
        <f>"20:27:44.395"</f>
        <v>20:27:44.395</v>
      </c>
      <c r="U1136" t="str">
        <f t="shared" si="126"/>
        <v>AA0632</v>
      </c>
      <c r="V1136">
        <v>0</v>
      </c>
      <c r="W1136">
        <v>0</v>
      </c>
      <c r="X1136">
        <v>2</v>
      </c>
      <c r="Y1136">
        <v>0</v>
      </c>
      <c r="AA1136">
        <v>0</v>
      </c>
      <c r="AB1136">
        <v>9</v>
      </c>
      <c r="AC1136">
        <v>3</v>
      </c>
      <c r="AD1136">
        <v>0</v>
      </c>
      <c r="AE1136">
        <v>10</v>
      </c>
      <c r="AF1136" t="s">
        <v>126</v>
      </c>
      <c r="AG1136">
        <v>0</v>
      </c>
      <c r="AH1136">
        <v>0</v>
      </c>
      <c r="AI1136">
        <v>2</v>
      </c>
      <c r="AJ1136">
        <v>0</v>
      </c>
      <c r="AK1136" t="s">
        <v>510</v>
      </c>
      <c r="AL1136">
        <v>31.922922</v>
      </c>
      <c r="AM1136" t="s">
        <v>631</v>
      </c>
      <c r="AN1136">
        <v>-100.969291</v>
      </c>
      <c r="AQ1136" t="s">
        <v>129</v>
      </c>
      <c r="AR1136">
        <v>1</v>
      </c>
      <c r="AS1136">
        <v>2</v>
      </c>
      <c r="AT1136">
        <v>-64</v>
      </c>
      <c r="BB1136" t="str">
        <f t="shared" si="127"/>
        <v>1200</v>
      </c>
      <c r="BC1136">
        <v>1</v>
      </c>
      <c r="BD1136" t="str">
        <f t="shared" si="129"/>
        <v xml:space="preserve">N745MB  </v>
      </c>
      <c r="BE1136">
        <v>1</v>
      </c>
      <c r="BG1136">
        <v>0</v>
      </c>
      <c r="BH1136">
        <v>0</v>
      </c>
      <c r="BI1136">
        <v>0</v>
      </c>
      <c r="BL1136" t="s">
        <v>130</v>
      </c>
      <c r="BM1136">
        <v>1</v>
      </c>
      <c r="BN1136">
        <v>0</v>
      </c>
      <c r="BO1136">
        <v>0</v>
      </c>
      <c r="BP1136">
        <v>0</v>
      </c>
      <c r="BT1136">
        <v>0</v>
      </c>
      <c r="BU1136">
        <v>0</v>
      </c>
      <c r="CE1136" t="str">
        <f>"20:27:44.701"</f>
        <v>20:27:44.701</v>
      </c>
      <c r="CF1136">
        <v>701215811</v>
      </c>
      <c r="CS1136">
        <v>0</v>
      </c>
      <c r="CT1136">
        <v>2</v>
      </c>
      <c r="CU1136">
        <v>0</v>
      </c>
      <c r="CV1136">
        <v>2</v>
      </c>
      <c r="CW1136">
        <v>0</v>
      </c>
      <c r="CX1136">
        <v>2</v>
      </c>
      <c r="CY1136">
        <v>7</v>
      </c>
      <c r="CZ1136" t="s">
        <v>131</v>
      </c>
      <c r="DA1136">
        <v>116</v>
      </c>
      <c r="DB1136">
        <v>0</v>
      </c>
      <c r="DC1136" t="s">
        <v>132</v>
      </c>
      <c r="DD1136" t="s">
        <v>133</v>
      </c>
      <c r="DG1136">
        <v>14758872</v>
      </c>
      <c r="DI1136">
        <v>0</v>
      </c>
      <c r="DJ1136">
        <v>1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1</v>
      </c>
      <c r="DQ1136">
        <v>0</v>
      </c>
      <c r="DR1136">
        <v>0</v>
      </c>
      <c r="DS1136">
        <v>1</v>
      </c>
    </row>
    <row r="1137" spans="1:123" x14ac:dyDescent="0.25">
      <c r="A1137" t="str">
        <f>"11/29/2023 20:27:45.181"</f>
        <v>11/29/2023 20:27:45.181</v>
      </c>
      <c r="C1137" t="str">
        <f t="shared" si="128"/>
        <v>FFDF53C0</v>
      </c>
      <c r="D1137" t="s">
        <v>135</v>
      </c>
      <c r="E1137">
        <v>31</v>
      </c>
      <c r="H1137">
        <v>285</v>
      </c>
      <c r="I1137" t="s">
        <v>136</v>
      </c>
      <c r="J1137" t="s">
        <v>137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>"20:27:44.695"</f>
        <v>20:27:44.695</v>
      </c>
      <c r="T1137" t="str">
        <f>"20:27:44.395"</f>
        <v>20:27:44.395</v>
      </c>
      <c r="U1137" t="str">
        <f t="shared" si="126"/>
        <v>AA0632</v>
      </c>
      <c r="V1137">
        <v>0</v>
      </c>
      <c r="W1137">
        <v>0</v>
      </c>
      <c r="X1137">
        <v>2</v>
      </c>
      <c r="Y1137">
        <v>0</v>
      </c>
      <c r="AA1137">
        <v>0</v>
      </c>
      <c r="AB1137">
        <v>9</v>
      </c>
      <c r="AC1137">
        <v>3</v>
      </c>
      <c r="AD1137">
        <v>0</v>
      </c>
      <c r="AE1137">
        <v>10</v>
      </c>
      <c r="AF1137" t="s">
        <v>126</v>
      </c>
      <c r="AG1137">
        <v>0</v>
      </c>
      <c r="AH1137">
        <v>0</v>
      </c>
      <c r="AI1137">
        <v>2</v>
      </c>
      <c r="AJ1137">
        <v>0</v>
      </c>
      <c r="AK1137" t="s">
        <v>510</v>
      </c>
      <c r="AL1137">
        <v>31.922922</v>
      </c>
      <c r="AM1137" t="s">
        <v>631</v>
      </c>
      <c r="AN1137">
        <v>-100.969291</v>
      </c>
      <c r="AQ1137" t="s">
        <v>129</v>
      </c>
      <c r="AR1137">
        <v>1</v>
      </c>
      <c r="AS1137">
        <v>2</v>
      </c>
      <c r="AT1137">
        <v>-64</v>
      </c>
      <c r="BB1137" t="str">
        <f t="shared" si="127"/>
        <v>1200</v>
      </c>
      <c r="BC1137">
        <v>1</v>
      </c>
      <c r="BD1137" t="str">
        <f t="shared" si="129"/>
        <v xml:space="preserve">N745MB  </v>
      </c>
      <c r="BE1137">
        <v>1</v>
      </c>
      <c r="BG1137">
        <v>0</v>
      </c>
      <c r="BH1137">
        <v>0</v>
      </c>
      <c r="BI1137">
        <v>0</v>
      </c>
      <c r="BL1137" t="s">
        <v>130</v>
      </c>
      <c r="BM1137">
        <v>1</v>
      </c>
      <c r="BN1137">
        <v>0</v>
      </c>
      <c r="BO1137">
        <v>0</v>
      </c>
      <c r="BP1137">
        <v>0</v>
      </c>
      <c r="BT1137">
        <v>0</v>
      </c>
      <c r="BU1137">
        <v>0</v>
      </c>
      <c r="CE1137" t="str">
        <f>"20:27:44.701"</f>
        <v>20:27:44.701</v>
      </c>
      <c r="CF1137">
        <v>701215811</v>
      </c>
      <c r="CS1137">
        <v>0</v>
      </c>
      <c r="CT1137">
        <v>2</v>
      </c>
      <c r="CU1137">
        <v>0</v>
      </c>
      <c r="CV1137">
        <v>2</v>
      </c>
      <c r="CW1137">
        <v>0</v>
      </c>
      <c r="CX1137">
        <v>2</v>
      </c>
      <c r="CY1137">
        <v>7</v>
      </c>
      <c r="CZ1137" t="s">
        <v>131</v>
      </c>
      <c r="DA1137">
        <v>116</v>
      </c>
      <c r="DB1137">
        <v>0</v>
      </c>
      <c r="DC1137" t="s">
        <v>132</v>
      </c>
      <c r="DD1137" t="s">
        <v>133</v>
      </c>
      <c r="DG1137">
        <v>14758872</v>
      </c>
      <c r="DI1137">
        <v>0</v>
      </c>
      <c r="DJ1137">
        <v>1</v>
      </c>
      <c r="DK1137">
        <v>1</v>
      </c>
      <c r="DL1137">
        <v>0</v>
      </c>
      <c r="DM1137">
        <v>0</v>
      </c>
      <c r="DN1137">
        <v>0</v>
      </c>
      <c r="DO1137">
        <v>0</v>
      </c>
      <c r="DP1137">
        <v>1</v>
      </c>
      <c r="DQ1137">
        <v>0</v>
      </c>
      <c r="DR1137">
        <v>0</v>
      </c>
      <c r="DS1137">
        <v>1</v>
      </c>
    </row>
    <row r="1138" spans="1:123" x14ac:dyDescent="0.25">
      <c r="A1138" t="str">
        <f>"11/29/2023 20:27:45.181"</f>
        <v>11/29/2023 20:27:45.181</v>
      </c>
      <c r="C1138" t="str">
        <f t="shared" si="128"/>
        <v>FFDF53C0</v>
      </c>
      <c r="D1138" t="s">
        <v>123</v>
      </c>
      <c r="E1138">
        <v>1</v>
      </c>
      <c r="F1138">
        <v>1001</v>
      </c>
      <c r="G1138" t="s">
        <v>134</v>
      </c>
      <c r="J1138" t="s">
        <v>125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>"20:27:44.695"</f>
        <v>20:27:44.695</v>
      </c>
      <c r="T1138" t="str">
        <f>"20:27:44.395"</f>
        <v>20:27:44.395</v>
      </c>
      <c r="U1138" t="str">
        <f t="shared" si="126"/>
        <v>AA0632</v>
      </c>
      <c r="V1138">
        <v>0</v>
      </c>
      <c r="W1138">
        <v>0</v>
      </c>
      <c r="X1138">
        <v>2</v>
      </c>
      <c r="Y1138">
        <v>0</v>
      </c>
      <c r="AA1138">
        <v>0</v>
      </c>
      <c r="AB1138">
        <v>9</v>
      </c>
      <c r="AC1138">
        <v>3</v>
      </c>
      <c r="AD1138">
        <v>0</v>
      </c>
      <c r="AE1138">
        <v>10</v>
      </c>
      <c r="AF1138" t="s">
        <v>126</v>
      </c>
      <c r="AG1138">
        <v>0</v>
      </c>
      <c r="AH1138">
        <v>0</v>
      </c>
      <c r="AI1138">
        <v>2</v>
      </c>
      <c r="AJ1138">
        <v>0</v>
      </c>
      <c r="AK1138" t="s">
        <v>510</v>
      </c>
      <c r="AL1138">
        <v>31.922922</v>
      </c>
      <c r="AM1138" t="s">
        <v>631</v>
      </c>
      <c r="AN1138">
        <v>-100.969291</v>
      </c>
      <c r="AQ1138" t="s">
        <v>129</v>
      </c>
      <c r="AR1138">
        <v>1</v>
      </c>
      <c r="AS1138">
        <v>2</v>
      </c>
      <c r="AT1138">
        <v>-64</v>
      </c>
      <c r="BB1138" t="str">
        <f t="shared" si="127"/>
        <v>1200</v>
      </c>
      <c r="BC1138">
        <v>1</v>
      </c>
      <c r="BD1138" t="str">
        <f t="shared" si="129"/>
        <v xml:space="preserve">N745MB  </v>
      </c>
      <c r="BE1138">
        <v>1</v>
      </c>
      <c r="BG1138">
        <v>0</v>
      </c>
      <c r="BH1138">
        <v>0</v>
      </c>
      <c r="BI1138">
        <v>0</v>
      </c>
      <c r="BL1138" t="s">
        <v>130</v>
      </c>
      <c r="BM1138">
        <v>1</v>
      </c>
      <c r="BN1138">
        <v>0</v>
      </c>
      <c r="BO1138">
        <v>0</v>
      </c>
      <c r="BP1138">
        <v>0</v>
      </c>
      <c r="BT1138">
        <v>0</v>
      </c>
      <c r="BU1138">
        <v>0</v>
      </c>
      <c r="CE1138" t="str">
        <f>"20:27:44.701"</f>
        <v>20:27:44.701</v>
      </c>
      <c r="CF1138">
        <v>701215811</v>
      </c>
      <c r="CS1138">
        <v>0</v>
      </c>
      <c r="CT1138">
        <v>2</v>
      </c>
      <c r="CU1138">
        <v>0</v>
      </c>
      <c r="CV1138">
        <v>2</v>
      </c>
      <c r="CW1138">
        <v>0</v>
      </c>
      <c r="CX1138">
        <v>2</v>
      </c>
      <c r="CY1138">
        <v>7</v>
      </c>
      <c r="CZ1138" t="s">
        <v>131</v>
      </c>
      <c r="DA1138">
        <v>116</v>
      </c>
      <c r="DB1138">
        <v>0</v>
      </c>
      <c r="DC1138" t="s">
        <v>132</v>
      </c>
      <c r="DD1138" t="s">
        <v>133</v>
      </c>
      <c r="DG1138">
        <v>14758872</v>
      </c>
      <c r="DI1138">
        <v>0</v>
      </c>
      <c r="DJ1138">
        <v>1</v>
      </c>
      <c r="DK1138">
        <v>1</v>
      </c>
      <c r="DL1138">
        <v>0</v>
      </c>
      <c r="DM1138">
        <v>0</v>
      </c>
      <c r="DN1138">
        <v>0</v>
      </c>
      <c r="DO1138">
        <v>0</v>
      </c>
      <c r="DP1138">
        <v>1</v>
      </c>
      <c r="DQ1138">
        <v>0</v>
      </c>
      <c r="DR1138">
        <v>0</v>
      </c>
      <c r="DS1138">
        <v>1</v>
      </c>
    </row>
    <row r="1139" spans="1:123" x14ac:dyDescent="0.25">
      <c r="A1139" t="str">
        <f>"11/29/2023 20:27:45.993"</f>
        <v>11/29/2023 20:27:45.993</v>
      </c>
      <c r="C1139" t="str">
        <f t="shared" si="128"/>
        <v>FFDF53C0</v>
      </c>
      <c r="D1139" t="s">
        <v>123</v>
      </c>
      <c r="E1139">
        <v>1</v>
      </c>
      <c r="F1139">
        <v>1001</v>
      </c>
      <c r="G1139" t="s">
        <v>134</v>
      </c>
      <c r="J1139" t="s">
        <v>125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>"20:27:45.750"</f>
        <v>20:27:45.750</v>
      </c>
      <c r="T1139" t="str">
        <f>"20:27:45.450"</f>
        <v>20:27:45.450</v>
      </c>
      <c r="U1139" t="str">
        <f t="shared" si="126"/>
        <v>AA0632</v>
      </c>
      <c r="V1139">
        <v>0</v>
      </c>
      <c r="W1139">
        <v>0</v>
      </c>
      <c r="X1139">
        <v>2</v>
      </c>
      <c r="Y1139">
        <v>0</v>
      </c>
      <c r="AA1139">
        <v>0</v>
      </c>
      <c r="AB1139">
        <v>9</v>
      </c>
      <c r="AC1139">
        <v>3</v>
      </c>
      <c r="AD1139">
        <v>0</v>
      </c>
      <c r="AE1139">
        <v>10</v>
      </c>
      <c r="AF1139" t="s">
        <v>126</v>
      </c>
      <c r="AG1139">
        <v>0</v>
      </c>
      <c r="AH1139">
        <v>0</v>
      </c>
      <c r="AI1139">
        <v>2</v>
      </c>
      <c r="AJ1139">
        <v>0</v>
      </c>
      <c r="AK1139" t="s">
        <v>510</v>
      </c>
      <c r="AL1139">
        <v>31.922922</v>
      </c>
      <c r="AM1139" t="s">
        <v>631</v>
      </c>
      <c r="AN1139">
        <v>-100.969291</v>
      </c>
      <c r="AQ1139" t="s">
        <v>129</v>
      </c>
      <c r="AR1139">
        <v>1</v>
      </c>
      <c r="AS1139">
        <v>3</v>
      </c>
      <c r="AT1139">
        <v>-64</v>
      </c>
      <c r="BB1139" t="str">
        <f t="shared" si="127"/>
        <v>1200</v>
      </c>
      <c r="BC1139">
        <v>1</v>
      </c>
      <c r="BD1139" t="str">
        <f t="shared" si="129"/>
        <v xml:space="preserve">N745MB  </v>
      </c>
      <c r="BE1139">
        <v>1</v>
      </c>
      <c r="BG1139">
        <v>0</v>
      </c>
      <c r="BH1139">
        <v>0</v>
      </c>
      <c r="BI1139">
        <v>0</v>
      </c>
      <c r="BL1139" t="s">
        <v>130</v>
      </c>
      <c r="BM1139">
        <v>1</v>
      </c>
      <c r="BN1139">
        <v>0</v>
      </c>
      <c r="BO1139">
        <v>0</v>
      </c>
      <c r="BP1139">
        <v>0</v>
      </c>
      <c r="BT1139">
        <v>0</v>
      </c>
      <c r="BU1139">
        <v>0</v>
      </c>
      <c r="CE1139" t="str">
        <f>"20:27:45.751"</f>
        <v>20:27:45.751</v>
      </c>
      <c r="CF1139">
        <v>751145547</v>
      </c>
      <c r="CS1139">
        <v>0</v>
      </c>
      <c r="CT1139">
        <v>2</v>
      </c>
      <c r="CU1139">
        <v>0</v>
      </c>
      <c r="CV1139">
        <v>2</v>
      </c>
      <c r="CW1139">
        <v>0</v>
      </c>
      <c r="CX1139">
        <v>3</v>
      </c>
      <c r="CY1139">
        <v>7</v>
      </c>
      <c r="CZ1139" t="s">
        <v>131</v>
      </c>
      <c r="DA1139">
        <v>116</v>
      </c>
      <c r="DB1139">
        <v>0</v>
      </c>
      <c r="DC1139" t="s">
        <v>132</v>
      </c>
      <c r="DD1139" t="s">
        <v>133</v>
      </c>
      <c r="DG1139">
        <v>14759700</v>
      </c>
      <c r="DI1139">
        <v>0</v>
      </c>
      <c r="DJ1139">
        <v>1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1</v>
      </c>
      <c r="DQ1139">
        <v>0</v>
      </c>
      <c r="DR1139">
        <v>0</v>
      </c>
      <c r="DS1139">
        <v>1</v>
      </c>
    </row>
    <row r="1140" spans="1:123" x14ac:dyDescent="0.25">
      <c r="A1140" t="str">
        <f>"11/29/2023 20:27:45.993"</f>
        <v>11/29/2023 20:27:45.993</v>
      </c>
      <c r="C1140" t="str">
        <f t="shared" si="128"/>
        <v>FFDF53C0</v>
      </c>
      <c r="D1140" t="s">
        <v>135</v>
      </c>
      <c r="E1140">
        <v>31</v>
      </c>
      <c r="H1140">
        <v>285</v>
      </c>
      <c r="I1140" t="s">
        <v>136</v>
      </c>
      <c r="J1140" t="s">
        <v>137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>"20:27:45.750"</f>
        <v>20:27:45.750</v>
      </c>
      <c r="T1140" t="str">
        <f>"20:27:45.450"</f>
        <v>20:27:45.450</v>
      </c>
      <c r="U1140" t="str">
        <f t="shared" si="126"/>
        <v>AA0632</v>
      </c>
      <c r="V1140">
        <v>0</v>
      </c>
      <c r="W1140">
        <v>0</v>
      </c>
      <c r="X1140">
        <v>2</v>
      </c>
      <c r="Y1140">
        <v>0</v>
      </c>
      <c r="AA1140">
        <v>0</v>
      </c>
      <c r="AB1140">
        <v>9</v>
      </c>
      <c r="AC1140">
        <v>3</v>
      </c>
      <c r="AD1140">
        <v>0</v>
      </c>
      <c r="AE1140">
        <v>10</v>
      </c>
      <c r="AF1140" t="s">
        <v>126</v>
      </c>
      <c r="AG1140">
        <v>0</v>
      </c>
      <c r="AH1140">
        <v>0</v>
      </c>
      <c r="AI1140">
        <v>2</v>
      </c>
      <c r="AJ1140">
        <v>0</v>
      </c>
      <c r="AK1140" t="s">
        <v>510</v>
      </c>
      <c r="AL1140">
        <v>31.922922</v>
      </c>
      <c r="AM1140" t="s">
        <v>631</v>
      </c>
      <c r="AN1140">
        <v>-100.969291</v>
      </c>
      <c r="AQ1140" t="s">
        <v>129</v>
      </c>
      <c r="AR1140">
        <v>1</v>
      </c>
      <c r="AS1140">
        <v>3</v>
      </c>
      <c r="AT1140">
        <v>-64</v>
      </c>
      <c r="BB1140" t="str">
        <f t="shared" si="127"/>
        <v>1200</v>
      </c>
      <c r="BC1140">
        <v>1</v>
      </c>
      <c r="BD1140" t="str">
        <f t="shared" si="129"/>
        <v xml:space="preserve">N745MB  </v>
      </c>
      <c r="BE1140">
        <v>1</v>
      </c>
      <c r="BG1140">
        <v>0</v>
      </c>
      <c r="BH1140">
        <v>0</v>
      </c>
      <c r="BI1140">
        <v>0</v>
      </c>
      <c r="BL1140" t="s">
        <v>130</v>
      </c>
      <c r="BM1140">
        <v>1</v>
      </c>
      <c r="BN1140">
        <v>0</v>
      </c>
      <c r="BO1140">
        <v>0</v>
      </c>
      <c r="BP1140">
        <v>0</v>
      </c>
      <c r="BT1140">
        <v>0</v>
      </c>
      <c r="BU1140">
        <v>0</v>
      </c>
      <c r="CE1140" t="str">
        <f>"20:27:45.751"</f>
        <v>20:27:45.751</v>
      </c>
      <c r="CF1140">
        <v>751145547</v>
      </c>
      <c r="CS1140">
        <v>0</v>
      </c>
      <c r="CT1140">
        <v>2</v>
      </c>
      <c r="CU1140">
        <v>0</v>
      </c>
      <c r="CV1140">
        <v>2</v>
      </c>
      <c r="CW1140">
        <v>0</v>
      </c>
      <c r="CX1140">
        <v>3</v>
      </c>
      <c r="CY1140">
        <v>7</v>
      </c>
      <c r="CZ1140" t="s">
        <v>131</v>
      </c>
      <c r="DA1140">
        <v>116</v>
      </c>
      <c r="DB1140">
        <v>0</v>
      </c>
      <c r="DC1140" t="s">
        <v>132</v>
      </c>
      <c r="DD1140" t="s">
        <v>133</v>
      </c>
      <c r="DG1140">
        <v>14759700</v>
      </c>
      <c r="DI1140">
        <v>0</v>
      </c>
      <c r="DJ1140">
        <v>1</v>
      </c>
      <c r="DK1140">
        <v>1</v>
      </c>
      <c r="DL1140">
        <v>0</v>
      </c>
      <c r="DM1140">
        <v>0</v>
      </c>
      <c r="DN1140">
        <v>0</v>
      </c>
      <c r="DO1140">
        <v>0</v>
      </c>
      <c r="DP1140">
        <v>1</v>
      </c>
      <c r="DQ1140">
        <v>0</v>
      </c>
      <c r="DR1140">
        <v>0</v>
      </c>
      <c r="DS1140">
        <v>1</v>
      </c>
    </row>
    <row r="1141" spans="1:123" x14ac:dyDescent="0.25">
      <c r="A1141" t="str">
        <f>"11/29/2023 20:27:46.087"</f>
        <v>11/29/2023 20:27:46.087</v>
      </c>
      <c r="C1141" t="str">
        <f t="shared" si="128"/>
        <v>FFDF53C0</v>
      </c>
      <c r="D1141" t="s">
        <v>138</v>
      </c>
      <c r="E1141">
        <v>3</v>
      </c>
      <c r="H1141">
        <v>160</v>
      </c>
      <c r="I1141" t="s">
        <v>124</v>
      </c>
      <c r="J1141" t="s">
        <v>139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>"20:27:45.750"</f>
        <v>20:27:45.750</v>
      </c>
      <c r="T1141" t="str">
        <f>"20:27:45.450"</f>
        <v>20:27:45.450</v>
      </c>
      <c r="U1141" t="str">
        <f t="shared" si="126"/>
        <v>AA0632</v>
      </c>
      <c r="V1141">
        <v>0</v>
      </c>
      <c r="W1141">
        <v>0</v>
      </c>
      <c r="X1141">
        <v>2</v>
      </c>
      <c r="Y1141">
        <v>0</v>
      </c>
      <c r="AA1141">
        <v>0</v>
      </c>
      <c r="AB1141">
        <v>9</v>
      </c>
      <c r="AC1141">
        <v>3</v>
      </c>
      <c r="AD1141">
        <v>0</v>
      </c>
      <c r="AE1141">
        <v>10</v>
      </c>
      <c r="AF1141" t="s">
        <v>126</v>
      </c>
      <c r="AG1141">
        <v>0</v>
      </c>
      <c r="AH1141">
        <v>0</v>
      </c>
      <c r="AI1141">
        <v>2</v>
      </c>
      <c r="AJ1141">
        <v>0</v>
      </c>
      <c r="AK1141" t="s">
        <v>510</v>
      </c>
      <c r="AL1141">
        <v>31.922922</v>
      </c>
      <c r="AM1141" t="s">
        <v>631</v>
      </c>
      <c r="AN1141">
        <v>-100.969291</v>
      </c>
      <c r="AQ1141" t="s">
        <v>129</v>
      </c>
      <c r="AR1141">
        <v>1</v>
      </c>
      <c r="AS1141">
        <v>3</v>
      </c>
      <c r="AT1141">
        <v>-64</v>
      </c>
      <c r="BB1141" t="str">
        <f t="shared" si="127"/>
        <v>1200</v>
      </c>
      <c r="BC1141">
        <v>1</v>
      </c>
      <c r="BD1141" t="str">
        <f t="shared" si="129"/>
        <v xml:space="preserve">N745MB  </v>
      </c>
      <c r="BE1141">
        <v>1</v>
      </c>
      <c r="BG1141">
        <v>0</v>
      </c>
      <c r="BH1141">
        <v>0</v>
      </c>
      <c r="BI1141">
        <v>0</v>
      </c>
      <c r="BL1141" t="s">
        <v>130</v>
      </c>
      <c r="BM1141">
        <v>1</v>
      </c>
      <c r="BN1141">
        <v>0</v>
      </c>
      <c r="BO1141">
        <v>0</v>
      </c>
      <c r="BP1141">
        <v>0</v>
      </c>
      <c r="BT1141">
        <v>0</v>
      </c>
      <c r="BU1141">
        <v>0</v>
      </c>
      <c r="CE1141" t="str">
        <f>"20:27:45.751"</f>
        <v>20:27:45.751</v>
      </c>
      <c r="CF1141">
        <v>751145547</v>
      </c>
      <c r="CS1141">
        <v>0</v>
      </c>
      <c r="CT1141">
        <v>2</v>
      </c>
      <c r="CU1141">
        <v>0</v>
      </c>
      <c r="CV1141">
        <v>2</v>
      </c>
      <c r="CW1141">
        <v>0</v>
      </c>
      <c r="CX1141">
        <v>3</v>
      </c>
      <c r="CY1141">
        <v>7</v>
      </c>
      <c r="CZ1141" t="s">
        <v>131</v>
      </c>
      <c r="DA1141">
        <v>116</v>
      </c>
      <c r="DB1141">
        <v>0</v>
      </c>
      <c r="DC1141" t="s">
        <v>132</v>
      </c>
      <c r="DD1141" t="s">
        <v>133</v>
      </c>
      <c r="DG1141">
        <v>14759700</v>
      </c>
      <c r="DI1141">
        <v>0</v>
      </c>
      <c r="DJ1141">
        <v>1</v>
      </c>
      <c r="DK1141">
        <v>1</v>
      </c>
      <c r="DL1141">
        <v>0</v>
      </c>
      <c r="DM1141">
        <v>0</v>
      </c>
      <c r="DN1141">
        <v>0</v>
      </c>
      <c r="DO1141">
        <v>0</v>
      </c>
      <c r="DP1141">
        <v>1</v>
      </c>
      <c r="DQ1141">
        <v>0</v>
      </c>
      <c r="DR1141">
        <v>0</v>
      </c>
      <c r="DS1141">
        <v>1</v>
      </c>
    </row>
    <row r="1142" spans="1:123" x14ac:dyDescent="0.25">
      <c r="A1142" t="str">
        <f>"11/29/2023 20:27:46.087"</f>
        <v>11/29/2023 20:27:46.087</v>
      </c>
      <c r="C1142" t="str">
        <f t="shared" si="128"/>
        <v>FFDF53C0</v>
      </c>
      <c r="D1142" t="s">
        <v>123</v>
      </c>
      <c r="E1142">
        <v>14</v>
      </c>
      <c r="F1142">
        <v>1014</v>
      </c>
      <c r="G1142" t="s">
        <v>124</v>
      </c>
      <c r="J1142" t="s">
        <v>125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>"20:27:45.750"</f>
        <v>20:27:45.750</v>
      </c>
      <c r="T1142" t="str">
        <f>"20:27:45.450"</f>
        <v>20:27:45.450</v>
      </c>
      <c r="U1142" t="str">
        <f t="shared" si="126"/>
        <v>AA0632</v>
      </c>
      <c r="V1142">
        <v>0</v>
      </c>
      <c r="W1142">
        <v>0</v>
      </c>
      <c r="X1142">
        <v>2</v>
      </c>
      <c r="Y1142">
        <v>0</v>
      </c>
      <c r="AA1142">
        <v>0</v>
      </c>
      <c r="AB1142">
        <v>9</v>
      </c>
      <c r="AC1142">
        <v>3</v>
      </c>
      <c r="AD1142">
        <v>0</v>
      </c>
      <c r="AE1142">
        <v>10</v>
      </c>
      <c r="AF1142" t="s">
        <v>126</v>
      </c>
      <c r="AG1142">
        <v>0</v>
      </c>
      <c r="AH1142">
        <v>0</v>
      </c>
      <c r="AI1142">
        <v>2</v>
      </c>
      <c r="AJ1142">
        <v>0</v>
      </c>
      <c r="AK1142" t="s">
        <v>510</v>
      </c>
      <c r="AL1142">
        <v>31.922922</v>
      </c>
      <c r="AM1142" t="s">
        <v>631</v>
      </c>
      <c r="AN1142">
        <v>-100.969291</v>
      </c>
      <c r="AQ1142" t="s">
        <v>129</v>
      </c>
      <c r="AR1142">
        <v>1</v>
      </c>
      <c r="AS1142">
        <v>3</v>
      </c>
      <c r="AT1142">
        <v>-64</v>
      </c>
      <c r="BB1142" t="str">
        <f t="shared" si="127"/>
        <v>1200</v>
      </c>
      <c r="BC1142">
        <v>1</v>
      </c>
      <c r="BD1142" t="str">
        <f t="shared" si="129"/>
        <v xml:space="preserve">N745MB  </v>
      </c>
      <c r="BE1142">
        <v>1</v>
      </c>
      <c r="BG1142">
        <v>0</v>
      </c>
      <c r="BH1142">
        <v>0</v>
      </c>
      <c r="BI1142">
        <v>0</v>
      </c>
      <c r="BL1142" t="s">
        <v>130</v>
      </c>
      <c r="BM1142">
        <v>1</v>
      </c>
      <c r="BN1142">
        <v>0</v>
      </c>
      <c r="BO1142">
        <v>0</v>
      </c>
      <c r="BP1142">
        <v>0</v>
      </c>
      <c r="BT1142">
        <v>0</v>
      </c>
      <c r="BU1142">
        <v>0</v>
      </c>
      <c r="CE1142" t="str">
        <f>"20:27:45.751"</f>
        <v>20:27:45.751</v>
      </c>
      <c r="CF1142">
        <v>751145547</v>
      </c>
      <c r="CS1142">
        <v>0</v>
      </c>
      <c r="CT1142">
        <v>2</v>
      </c>
      <c r="CU1142">
        <v>0</v>
      </c>
      <c r="CV1142">
        <v>2</v>
      </c>
      <c r="CW1142">
        <v>0</v>
      </c>
      <c r="CX1142">
        <v>3</v>
      </c>
      <c r="CY1142">
        <v>7</v>
      </c>
      <c r="CZ1142" t="s">
        <v>131</v>
      </c>
      <c r="DA1142">
        <v>116</v>
      </c>
      <c r="DB1142">
        <v>0</v>
      </c>
      <c r="DC1142" t="s">
        <v>132</v>
      </c>
      <c r="DD1142" t="s">
        <v>133</v>
      </c>
      <c r="DG1142">
        <v>14759700</v>
      </c>
      <c r="DI1142">
        <v>0</v>
      </c>
      <c r="DJ1142">
        <v>1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1</v>
      </c>
      <c r="DQ1142">
        <v>0</v>
      </c>
      <c r="DR1142">
        <v>0</v>
      </c>
      <c r="DS1142">
        <v>1</v>
      </c>
    </row>
    <row r="1143" spans="1:123" x14ac:dyDescent="0.25">
      <c r="A1143" t="str">
        <f>"11/29/2023 20:27:48.009"</f>
        <v>11/29/2023 20:27:48.009</v>
      </c>
      <c r="C1143" t="str">
        <f t="shared" si="128"/>
        <v>FFDF53C0</v>
      </c>
      <c r="D1143" t="s">
        <v>138</v>
      </c>
      <c r="E1143">
        <v>3</v>
      </c>
      <c r="H1143">
        <v>160</v>
      </c>
      <c r="I1143" t="s">
        <v>124</v>
      </c>
      <c r="J1143" t="s">
        <v>139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>"20:27:47.469"</f>
        <v>20:27:47.469</v>
      </c>
      <c r="T1143" t="str">
        <f>"20:27:47.469"</f>
        <v>20:27:47.469</v>
      </c>
      <c r="U1143" t="str">
        <f t="shared" si="126"/>
        <v>AA0632</v>
      </c>
      <c r="V1143">
        <v>0</v>
      </c>
      <c r="W1143">
        <v>0</v>
      </c>
      <c r="X1143">
        <v>2</v>
      </c>
      <c r="Y1143">
        <v>0</v>
      </c>
      <c r="AA1143">
        <v>0</v>
      </c>
      <c r="AB1143">
        <v>9</v>
      </c>
      <c r="AC1143">
        <v>3</v>
      </c>
      <c r="AD1143">
        <v>0</v>
      </c>
      <c r="AE1143">
        <v>10</v>
      </c>
      <c r="AF1143" t="s">
        <v>126</v>
      </c>
      <c r="AG1143">
        <v>0</v>
      </c>
      <c r="AH1143">
        <v>0</v>
      </c>
      <c r="AI1143">
        <v>2</v>
      </c>
      <c r="AJ1143">
        <v>0</v>
      </c>
      <c r="AK1143" t="s">
        <v>589</v>
      </c>
      <c r="AL1143">
        <v>31.922965000000001</v>
      </c>
      <c r="AM1143" t="s">
        <v>631</v>
      </c>
      <c r="AN1143">
        <v>-100.969291</v>
      </c>
      <c r="AQ1143" t="s">
        <v>129</v>
      </c>
      <c r="AR1143">
        <v>1</v>
      </c>
      <c r="AS1143">
        <v>5</v>
      </c>
      <c r="AT1143">
        <v>-64</v>
      </c>
      <c r="BB1143" t="str">
        <f t="shared" si="127"/>
        <v>1200</v>
      </c>
      <c r="BC1143">
        <v>1</v>
      </c>
      <c r="BD1143" t="str">
        <f t="shared" si="129"/>
        <v xml:space="preserve">N745MB  </v>
      </c>
      <c r="BE1143">
        <v>1</v>
      </c>
      <c r="BG1143">
        <v>0</v>
      </c>
      <c r="BH1143">
        <v>0</v>
      </c>
      <c r="BI1143">
        <v>0</v>
      </c>
      <c r="BL1143" t="s">
        <v>130</v>
      </c>
      <c r="BM1143">
        <v>1</v>
      </c>
      <c r="BN1143">
        <v>0</v>
      </c>
      <c r="BO1143">
        <v>0</v>
      </c>
      <c r="BP1143">
        <v>0</v>
      </c>
      <c r="BT1143">
        <v>0</v>
      </c>
      <c r="BU1143">
        <v>0</v>
      </c>
      <c r="CE1143" t="str">
        <f>"20:27:47.473"</f>
        <v>20:27:47.473</v>
      </c>
      <c r="CF1143">
        <v>473029050</v>
      </c>
      <c r="CS1143">
        <v>0</v>
      </c>
      <c r="CT1143">
        <v>2</v>
      </c>
      <c r="CU1143">
        <v>0</v>
      </c>
      <c r="CV1143">
        <v>2</v>
      </c>
      <c r="CW1143">
        <v>0</v>
      </c>
      <c r="CX1143">
        <v>4</v>
      </c>
      <c r="CY1143">
        <v>7</v>
      </c>
      <c r="CZ1143" t="s">
        <v>131</v>
      </c>
      <c r="DA1143">
        <v>116</v>
      </c>
      <c r="DB1143">
        <v>0</v>
      </c>
      <c r="DC1143" t="s">
        <v>132</v>
      </c>
      <c r="DD1143" t="s">
        <v>133</v>
      </c>
      <c r="DG1143">
        <v>14761133</v>
      </c>
      <c r="DI1143">
        <v>0</v>
      </c>
      <c r="DJ1143">
        <v>1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1</v>
      </c>
      <c r="DQ1143">
        <v>0</v>
      </c>
      <c r="DR1143">
        <v>0</v>
      </c>
      <c r="DS1143">
        <v>1</v>
      </c>
    </row>
    <row r="1144" spans="1:123" x14ac:dyDescent="0.25">
      <c r="A1144" t="str">
        <f>"11/29/2023 20:27:49.290"</f>
        <v>11/29/2023 20:27:49.290</v>
      </c>
      <c r="C1144" t="str">
        <f t="shared" si="128"/>
        <v>FFDF53C0</v>
      </c>
      <c r="D1144" t="s">
        <v>138</v>
      </c>
      <c r="E1144">
        <v>3</v>
      </c>
      <c r="H1144">
        <v>160</v>
      </c>
      <c r="I1144" t="s">
        <v>124</v>
      </c>
      <c r="J1144" t="s">
        <v>139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>"20:27:48.930"</f>
        <v>20:27:48.930</v>
      </c>
      <c r="T1144" t="str">
        <f>"20:27:48.530"</f>
        <v>20:27:48.530</v>
      </c>
      <c r="U1144" t="str">
        <f t="shared" si="126"/>
        <v>AA0632</v>
      </c>
      <c r="V1144">
        <v>0</v>
      </c>
      <c r="W1144">
        <v>0</v>
      </c>
      <c r="X1144">
        <v>2</v>
      </c>
      <c r="Y1144">
        <v>0</v>
      </c>
      <c r="AA1144">
        <v>0</v>
      </c>
      <c r="AB1144">
        <v>9</v>
      </c>
      <c r="AC1144">
        <v>3</v>
      </c>
      <c r="AD1144">
        <v>0</v>
      </c>
      <c r="AE1144">
        <v>10</v>
      </c>
      <c r="AF1144" t="s">
        <v>126</v>
      </c>
      <c r="AG1144">
        <v>0</v>
      </c>
      <c r="AH1144">
        <v>0</v>
      </c>
      <c r="AI1144">
        <v>2</v>
      </c>
      <c r="AJ1144">
        <v>0</v>
      </c>
      <c r="AK1144" t="s">
        <v>572</v>
      </c>
      <c r="AL1144">
        <v>31.923007999999999</v>
      </c>
      <c r="AM1144" t="s">
        <v>631</v>
      </c>
      <c r="AN1144">
        <v>-100.969291</v>
      </c>
      <c r="AQ1144" t="s">
        <v>129</v>
      </c>
      <c r="AR1144">
        <v>1</v>
      </c>
      <c r="AS1144">
        <v>5</v>
      </c>
      <c r="AT1144">
        <v>-128</v>
      </c>
      <c r="BB1144" t="str">
        <f t="shared" si="127"/>
        <v>1200</v>
      </c>
      <c r="BC1144">
        <v>1</v>
      </c>
      <c r="BD1144" t="str">
        <f t="shared" si="129"/>
        <v xml:space="preserve">N745MB  </v>
      </c>
      <c r="BE1144">
        <v>1</v>
      </c>
      <c r="BG1144">
        <v>0</v>
      </c>
      <c r="BH1144">
        <v>0</v>
      </c>
      <c r="BI1144">
        <v>0</v>
      </c>
      <c r="BL1144" t="s">
        <v>130</v>
      </c>
      <c r="BM1144">
        <v>1</v>
      </c>
      <c r="BN1144">
        <v>0</v>
      </c>
      <c r="BO1144">
        <v>0</v>
      </c>
      <c r="BP1144">
        <v>0</v>
      </c>
      <c r="BT1144">
        <v>0</v>
      </c>
      <c r="BU1144">
        <v>0</v>
      </c>
      <c r="CE1144" t="str">
        <f>"20:27:48.937"</f>
        <v>20:27:48.937</v>
      </c>
      <c r="CF1144">
        <v>936932050</v>
      </c>
      <c r="CS1144">
        <v>0</v>
      </c>
      <c r="CT1144">
        <v>2</v>
      </c>
      <c r="CU1144">
        <v>0</v>
      </c>
      <c r="CV1144">
        <v>2</v>
      </c>
      <c r="CW1144">
        <v>0</v>
      </c>
      <c r="CX1144">
        <v>5</v>
      </c>
      <c r="CY1144">
        <v>7</v>
      </c>
      <c r="CZ1144" t="s">
        <v>131</v>
      </c>
      <c r="DA1144">
        <v>116</v>
      </c>
      <c r="DB1144">
        <v>0</v>
      </c>
      <c r="DC1144" t="s">
        <v>132</v>
      </c>
      <c r="DD1144" t="s">
        <v>133</v>
      </c>
      <c r="DG1144">
        <v>14762363</v>
      </c>
      <c r="DI1144">
        <v>0</v>
      </c>
      <c r="DJ1144">
        <v>1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1</v>
      </c>
      <c r="DQ1144">
        <v>0</v>
      </c>
      <c r="DR1144">
        <v>0</v>
      </c>
      <c r="DS1144">
        <v>1</v>
      </c>
    </row>
    <row r="1145" spans="1:123" x14ac:dyDescent="0.25">
      <c r="A1145" t="str">
        <f>"11/29/2023 20:27:49.290"</f>
        <v>11/29/2023 20:27:49.290</v>
      </c>
      <c r="C1145" t="str">
        <f t="shared" si="128"/>
        <v>FFDF53C0</v>
      </c>
      <c r="D1145" t="s">
        <v>123</v>
      </c>
      <c r="E1145">
        <v>14</v>
      </c>
      <c r="F1145">
        <v>1014</v>
      </c>
      <c r="G1145" t="s">
        <v>124</v>
      </c>
      <c r="J1145" t="s">
        <v>125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>"20:27:48.930"</f>
        <v>20:27:48.930</v>
      </c>
      <c r="T1145" t="str">
        <f>"20:27:48.530"</f>
        <v>20:27:48.530</v>
      </c>
      <c r="U1145" t="str">
        <f t="shared" si="126"/>
        <v>AA0632</v>
      </c>
      <c r="V1145">
        <v>0</v>
      </c>
      <c r="W1145">
        <v>0</v>
      </c>
      <c r="X1145">
        <v>2</v>
      </c>
      <c r="Y1145">
        <v>0</v>
      </c>
      <c r="AA1145">
        <v>0</v>
      </c>
      <c r="AB1145">
        <v>9</v>
      </c>
      <c r="AC1145">
        <v>3</v>
      </c>
      <c r="AD1145">
        <v>0</v>
      </c>
      <c r="AE1145">
        <v>10</v>
      </c>
      <c r="AF1145" t="s">
        <v>126</v>
      </c>
      <c r="AG1145">
        <v>0</v>
      </c>
      <c r="AH1145">
        <v>0</v>
      </c>
      <c r="AI1145">
        <v>2</v>
      </c>
      <c r="AJ1145">
        <v>0</v>
      </c>
      <c r="AK1145" t="s">
        <v>572</v>
      </c>
      <c r="AL1145">
        <v>31.923007999999999</v>
      </c>
      <c r="AM1145" t="s">
        <v>631</v>
      </c>
      <c r="AN1145">
        <v>-100.969291</v>
      </c>
      <c r="AQ1145" t="s">
        <v>129</v>
      </c>
      <c r="AR1145">
        <v>1</v>
      </c>
      <c r="AS1145">
        <v>5</v>
      </c>
      <c r="AT1145">
        <v>-128</v>
      </c>
      <c r="BB1145" t="str">
        <f t="shared" si="127"/>
        <v>1200</v>
      </c>
      <c r="BC1145">
        <v>1</v>
      </c>
      <c r="BD1145" t="str">
        <f t="shared" si="129"/>
        <v xml:space="preserve">N745MB  </v>
      </c>
      <c r="BE1145">
        <v>1</v>
      </c>
      <c r="BG1145">
        <v>0</v>
      </c>
      <c r="BH1145">
        <v>0</v>
      </c>
      <c r="BI1145">
        <v>0</v>
      </c>
      <c r="BL1145" t="s">
        <v>130</v>
      </c>
      <c r="BM1145">
        <v>1</v>
      </c>
      <c r="BN1145">
        <v>0</v>
      </c>
      <c r="BO1145">
        <v>0</v>
      </c>
      <c r="BP1145">
        <v>0</v>
      </c>
      <c r="BT1145">
        <v>0</v>
      </c>
      <c r="BU1145">
        <v>0</v>
      </c>
      <c r="CE1145" t="str">
        <f>"20:27:48.937"</f>
        <v>20:27:48.937</v>
      </c>
      <c r="CF1145">
        <v>936932050</v>
      </c>
      <c r="CS1145">
        <v>0</v>
      </c>
      <c r="CT1145">
        <v>2</v>
      </c>
      <c r="CU1145">
        <v>0</v>
      </c>
      <c r="CV1145">
        <v>2</v>
      </c>
      <c r="CW1145">
        <v>0</v>
      </c>
      <c r="CX1145">
        <v>5</v>
      </c>
      <c r="CY1145">
        <v>7</v>
      </c>
      <c r="CZ1145" t="s">
        <v>131</v>
      </c>
      <c r="DA1145">
        <v>116</v>
      </c>
      <c r="DB1145">
        <v>0</v>
      </c>
      <c r="DC1145" t="s">
        <v>132</v>
      </c>
      <c r="DD1145" t="s">
        <v>133</v>
      </c>
      <c r="DG1145">
        <v>14762363</v>
      </c>
      <c r="DI1145">
        <v>0</v>
      </c>
      <c r="DJ1145">
        <v>1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1</v>
      </c>
      <c r="DQ1145">
        <v>0</v>
      </c>
      <c r="DR1145">
        <v>0</v>
      </c>
      <c r="DS1145">
        <v>1</v>
      </c>
    </row>
    <row r="1146" spans="1:123" x14ac:dyDescent="0.25">
      <c r="A1146" t="str">
        <f>"11/29/2023 20:27:49.306"</f>
        <v>11/29/2023 20:27:49.306</v>
      </c>
      <c r="C1146" t="str">
        <f t="shared" si="128"/>
        <v>FFDF53C0</v>
      </c>
      <c r="D1146" t="s">
        <v>135</v>
      </c>
      <c r="E1146">
        <v>31</v>
      </c>
      <c r="H1146">
        <v>285</v>
      </c>
      <c r="I1146" t="s">
        <v>136</v>
      </c>
      <c r="J1146" t="s">
        <v>137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>"20:27:48.930"</f>
        <v>20:27:48.930</v>
      </c>
      <c r="T1146" t="str">
        <f>"20:27:48.530"</f>
        <v>20:27:48.530</v>
      </c>
      <c r="U1146" t="str">
        <f t="shared" si="126"/>
        <v>AA0632</v>
      </c>
      <c r="V1146">
        <v>0</v>
      </c>
      <c r="W1146">
        <v>0</v>
      </c>
      <c r="X1146">
        <v>2</v>
      </c>
      <c r="Y1146">
        <v>0</v>
      </c>
      <c r="AA1146">
        <v>0</v>
      </c>
      <c r="AB1146">
        <v>9</v>
      </c>
      <c r="AC1146">
        <v>3</v>
      </c>
      <c r="AD1146">
        <v>0</v>
      </c>
      <c r="AE1146">
        <v>10</v>
      </c>
      <c r="AF1146" t="s">
        <v>126</v>
      </c>
      <c r="AG1146">
        <v>0</v>
      </c>
      <c r="AH1146">
        <v>0</v>
      </c>
      <c r="AI1146">
        <v>2</v>
      </c>
      <c r="AJ1146">
        <v>0</v>
      </c>
      <c r="AK1146" t="s">
        <v>572</v>
      </c>
      <c r="AL1146">
        <v>31.923007999999999</v>
      </c>
      <c r="AM1146" t="s">
        <v>631</v>
      </c>
      <c r="AN1146">
        <v>-100.969291</v>
      </c>
      <c r="AQ1146" t="s">
        <v>129</v>
      </c>
      <c r="AR1146">
        <v>1</v>
      </c>
      <c r="AS1146">
        <v>5</v>
      </c>
      <c r="AT1146">
        <v>-128</v>
      </c>
      <c r="BB1146" t="str">
        <f t="shared" si="127"/>
        <v>1200</v>
      </c>
      <c r="BC1146">
        <v>1</v>
      </c>
      <c r="BD1146" t="str">
        <f t="shared" si="129"/>
        <v xml:space="preserve">N745MB  </v>
      </c>
      <c r="BE1146">
        <v>1</v>
      </c>
      <c r="BG1146">
        <v>0</v>
      </c>
      <c r="BH1146">
        <v>0</v>
      </c>
      <c r="BI1146">
        <v>0</v>
      </c>
      <c r="BL1146" t="s">
        <v>130</v>
      </c>
      <c r="BM1146">
        <v>1</v>
      </c>
      <c r="BN1146">
        <v>0</v>
      </c>
      <c r="BO1146">
        <v>0</v>
      </c>
      <c r="BP1146">
        <v>0</v>
      </c>
      <c r="BT1146">
        <v>0</v>
      </c>
      <c r="BU1146">
        <v>0</v>
      </c>
      <c r="CE1146" t="str">
        <f>"20:27:48.937"</f>
        <v>20:27:48.937</v>
      </c>
      <c r="CF1146">
        <v>936932050</v>
      </c>
      <c r="CS1146">
        <v>0</v>
      </c>
      <c r="CT1146">
        <v>2</v>
      </c>
      <c r="CU1146">
        <v>0</v>
      </c>
      <c r="CV1146">
        <v>2</v>
      </c>
      <c r="CW1146">
        <v>0</v>
      </c>
      <c r="CX1146">
        <v>5</v>
      </c>
      <c r="CY1146">
        <v>7</v>
      </c>
      <c r="CZ1146" t="s">
        <v>131</v>
      </c>
      <c r="DA1146">
        <v>116</v>
      </c>
      <c r="DB1146">
        <v>0</v>
      </c>
      <c r="DC1146" t="s">
        <v>132</v>
      </c>
      <c r="DD1146" t="s">
        <v>133</v>
      </c>
      <c r="DG1146">
        <v>14762363</v>
      </c>
      <c r="DI1146">
        <v>0</v>
      </c>
      <c r="DJ1146">
        <v>1</v>
      </c>
      <c r="DK1146">
        <v>1</v>
      </c>
      <c r="DL1146">
        <v>0</v>
      </c>
      <c r="DM1146">
        <v>0</v>
      </c>
      <c r="DN1146">
        <v>0</v>
      </c>
      <c r="DO1146">
        <v>0</v>
      </c>
      <c r="DP1146">
        <v>1</v>
      </c>
      <c r="DQ1146">
        <v>0</v>
      </c>
      <c r="DR1146">
        <v>0</v>
      </c>
      <c r="DS1146">
        <v>1</v>
      </c>
    </row>
    <row r="1147" spans="1:123" x14ac:dyDescent="0.25">
      <c r="A1147" t="str">
        <f>"11/29/2023 20:27:49.290"</f>
        <v>11/29/2023 20:27:49.290</v>
      </c>
      <c r="C1147" t="str">
        <f t="shared" si="128"/>
        <v>FFDF53C0</v>
      </c>
      <c r="D1147" t="s">
        <v>123</v>
      </c>
      <c r="E1147">
        <v>1</v>
      </c>
      <c r="F1147">
        <v>1001</v>
      </c>
      <c r="G1147" t="s">
        <v>134</v>
      </c>
      <c r="J1147" t="s">
        <v>125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>"20:27:48.930"</f>
        <v>20:27:48.930</v>
      </c>
      <c r="T1147" t="str">
        <f>"20:27:48.530"</f>
        <v>20:27:48.530</v>
      </c>
      <c r="U1147" t="str">
        <f t="shared" si="126"/>
        <v>AA0632</v>
      </c>
      <c r="V1147">
        <v>0</v>
      </c>
      <c r="W1147">
        <v>0</v>
      </c>
      <c r="X1147">
        <v>2</v>
      </c>
      <c r="Y1147">
        <v>0</v>
      </c>
      <c r="AA1147">
        <v>0</v>
      </c>
      <c r="AB1147">
        <v>9</v>
      </c>
      <c r="AC1147">
        <v>3</v>
      </c>
      <c r="AD1147">
        <v>0</v>
      </c>
      <c r="AE1147">
        <v>10</v>
      </c>
      <c r="AF1147" t="s">
        <v>126</v>
      </c>
      <c r="AG1147">
        <v>0</v>
      </c>
      <c r="AH1147">
        <v>0</v>
      </c>
      <c r="AI1147">
        <v>2</v>
      </c>
      <c r="AJ1147">
        <v>0</v>
      </c>
      <c r="AK1147" t="s">
        <v>572</v>
      </c>
      <c r="AL1147">
        <v>31.923007999999999</v>
      </c>
      <c r="AM1147" t="s">
        <v>631</v>
      </c>
      <c r="AN1147">
        <v>-100.969291</v>
      </c>
      <c r="AQ1147" t="s">
        <v>129</v>
      </c>
      <c r="AR1147">
        <v>1</v>
      </c>
      <c r="AS1147">
        <v>5</v>
      </c>
      <c r="AT1147">
        <v>-128</v>
      </c>
      <c r="BB1147" t="str">
        <f t="shared" si="127"/>
        <v>1200</v>
      </c>
      <c r="BC1147">
        <v>1</v>
      </c>
      <c r="BD1147" t="str">
        <f t="shared" si="129"/>
        <v xml:space="preserve">N745MB  </v>
      </c>
      <c r="BE1147">
        <v>1</v>
      </c>
      <c r="BG1147">
        <v>0</v>
      </c>
      <c r="BH1147">
        <v>0</v>
      </c>
      <c r="BI1147">
        <v>0</v>
      </c>
      <c r="BL1147" t="s">
        <v>130</v>
      </c>
      <c r="BM1147">
        <v>1</v>
      </c>
      <c r="BN1147">
        <v>0</v>
      </c>
      <c r="BO1147">
        <v>0</v>
      </c>
      <c r="BP1147">
        <v>0</v>
      </c>
      <c r="BT1147">
        <v>0</v>
      </c>
      <c r="BU1147">
        <v>0</v>
      </c>
      <c r="CE1147" t="str">
        <f>"20:27:48.937"</f>
        <v>20:27:48.937</v>
      </c>
      <c r="CF1147">
        <v>936932050</v>
      </c>
      <c r="CS1147">
        <v>0</v>
      </c>
      <c r="CT1147">
        <v>2</v>
      </c>
      <c r="CU1147">
        <v>0</v>
      </c>
      <c r="CV1147">
        <v>2</v>
      </c>
      <c r="CW1147">
        <v>0</v>
      </c>
      <c r="CX1147">
        <v>5</v>
      </c>
      <c r="CY1147">
        <v>7</v>
      </c>
      <c r="CZ1147" t="s">
        <v>131</v>
      </c>
      <c r="DA1147">
        <v>116</v>
      </c>
      <c r="DB1147">
        <v>0</v>
      </c>
      <c r="DC1147" t="s">
        <v>132</v>
      </c>
      <c r="DD1147" t="s">
        <v>133</v>
      </c>
      <c r="DG1147">
        <v>14762363</v>
      </c>
      <c r="DI1147">
        <v>0</v>
      </c>
      <c r="DJ1147">
        <v>1</v>
      </c>
      <c r="DK1147">
        <v>1</v>
      </c>
      <c r="DL1147">
        <v>0</v>
      </c>
      <c r="DM1147">
        <v>0</v>
      </c>
      <c r="DN1147">
        <v>0</v>
      </c>
      <c r="DO1147">
        <v>0</v>
      </c>
      <c r="DP1147">
        <v>1</v>
      </c>
      <c r="DQ1147">
        <v>0</v>
      </c>
      <c r="DR1147">
        <v>0</v>
      </c>
      <c r="DS1147">
        <v>1</v>
      </c>
    </row>
    <row r="1148" spans="1:123" x14ac:dyDescent="0.25">
      <c r="A1148" t="str">
        <f>"11/29/2023 20:27:51.040"</f>
        <v>11/29/2023 20:27:51.040</v>
      </c>
      <c r="C1148" t="str">
        <f t="shared" si="128"/>
        <v>FFDF53C0</v>
      </c>
      <c r="D1148" t="s">
        <v>123</v>
      </c>
      <c r="E1148">
        <v>14</v>
      </c>
      <c r="F1148">
        <v>1014</v>
      </c>
      <c r="G1148" t="s">
        <v>124</v>
      </c>
      <c r="J1148" t="s">
        <v>125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>"20:27:50.523"</f>
        <v>20:27:50.523</v>
      </c>
      <c r="T1148" t="str">
        <f>"20:27:49.923"</f>
        <v>20:27:49.923</v>
      </c>
      <c r="U1148" t="str">
        <f t="shared" si="126"/>
        <v>AA0632</v>
      </c>
      <c r="V1148">
        <v>0</v>
      </c>
      <c r="W1148">
        <v>0</v>
      </c>
      <c r="X1148">
        <v>2</v>
      </c>
      <c r="Y1148">
        <v>0</v>
      </c>
      <c r="AA1148">
        <v>0</v>
      </c>
      <c r="AB1148">
        <v>9</v>
      </c>
      <c r="AC1148">
        <v>3</v>
      </c>
      <c r="AD1148">
        <v>0</v>
      </c>
      <c r="AE1148">
        <v>10</v>
      </c>
      <c r="AF1148" t="s">
        <v>126</v>
      </c>
      <c r="AG1148">
        <v>0</v>
      </c>
      <c r="AH1148">
        <v>0</v>
      </c>
      <c r="AI1148">
        <v>2</v>
      </c>
      <c r="AJ1148">
        <v>0</v>
      </c>
      <c r="AK1148" t="s">
        <v>572</v>
      </c>
      <c r="AL1148">
        <v>31.923007999999999</v>
      </c>
      <c r="AM1148" t="s">
        <v>631</v>
      </c>
      <c r="AN1148">
        <v>-100.969291</v>
      </c>
      <c r="AQ1148" t="s">
        <v>129</v>
      </c>
      <c r="AR1148">
        <v>2</v>
      </c>
      <c r="AS1148">
        <v>4</v>
      </c>
      <c r="AT1148">
        <v>-128</v>
      </c>
      <c r="BB1148" t="str">
        <f t="shared" si="127"/>
        <v>1200</v>
      </c>
      <c r="BC1148">
        <v>1</v>
      </c>
      <c r="BD1148" t="str">
        <f t="shared" si="129"/>
        <v xml:space="preserve">N745MB  </v>
      </c>
      <c r="BE1148">
        <v>1</v>
      </c>
      <c r="BG1148">
        <v>0</v>
      </c>
      <c r="BH1148">
        <v>0</v>
      </c>
      <c r="BI1148">
        <v>0</v>
      </c>
      <c r="BL1148" t="s">
        <v>130</v>
      </c>
      <c r="BM1148">
        <v>1</v>
      </c>
      <c r="BN1148">
        <v>0</v>
      </c>
      <c r="BO1148">
        <v>0</v>
      </c>
      <c r="BP1148">
        <v>0</v>
      </c>
      <c r="BT1148">
        <v>0</v>
      </c>
      <c r="BU1148">
        <v>0</v>
      </c>
      <c r="CE1148" t="str">
        <f>"20:27:50.525"</f>
        <v>20:27:50.525</v>
      </c>
      <c r="CF1148">
        <v>524825960</v>
      </c>
      <c r="CS1148">
        <v>0</v>
      </c>
      <c r="CT1148">
        <v>2</v>
      </c>
      <c r="CU1148">
        <v>0</v>
      </c>
      <c r="CV1148">
        <v>2</v>
      </c>
      <c r="CW1148">
        <v>0</v>
      </c>
      <c r="CX1148">
        <v>5</v>
      </c>
      <c r="CY1148">
        <v>7</v>
      </c>
      <c r="CZ1148" t="s">
        <v>131</v>
      </c>
      <c r="DA1148">
        <v>116</v>
      </c>
      <c r="DB1148">
        <v>0</v>
      </c>
      <c r="DC1148" t="s">
        <v>132</v>
      </c>
      <c r="DD1148" t="s">
        <v>133</v>
      </c>
      <c r="DG1148">
        <v>14763610</v>
      </c>
      <c r="DI1148">
        <v>0</v>
      </c>
      <c r="DJ1148">
        <v>1</v>
      </c>
      <c r="DK1148">
        <v>0</v>
      </c>
      <c r="DL1148">
        <v>0</v>
      </c>
      <c r="DM1148">
        <v>0</v>
      </c>
      <c r="DN1148">
        <v>0</v>
      </c>
      <c r="DO1148">
        <v>0</v>
      </c>
      <c r="DP1148">
        <v>1</v>
      </c>
      <c r="DQ1148">
        <v>0</v>
      </c>
      <c r="DR1148">
        <v>0</v>
      </c>
      <c r="DS1148">
        <v>1</v>
      </c>
    </row>
    <row r="1149" spans="1:123" x14ac:dyDescent="0.25">
      <c r="A1149" t="str">
        <f>"11/29/2023 20:27:51.040"</f>
        <v>11/29/2023 20:27:51.040</v>
      </c>
      <c r="C1149" t="str">
        <f t="shared" si="128"/>
        <v>FFDF53C0</v>
      </c>
      <c r="D1149" t="s">
        <v>123</v>
      </c>
      <c r="E1149">
        <v>1</v>
      </c>
      <c r="F1149">
        <v>1001</v>
      </c>
      <c r="G1149" t="s">
        <v>134</v>
      </c>
      <c r="J1149" t="s">
        <v>125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>"20:27:50.523"</f>
        <v>20:27:50.523</v>
      </c>
      <c r="T1149" t="str">
        <f>"20:27:49.923"</f>
        <v>20:27:49.923</v>
      </c>
      <c r="U1149" t="str">
        <f t="shared" si="126"/>
        <v>AA0632</v>
      </c>
      <c r="V1149">
        <v>0</v>
      </c>
      <c r="W1149">
        <v>0</v>
      </c>
      <c r="X1149">
        <v>2</v>
      </c>
      <c r="Y1149">
        <v>0</v>
      </c>
      <c r="AA1149">
        <v>0</v>
      </c>
      <c r="AB1149">
        <v>9</v>
      </c>
      <c r="AC1149">
        <v>3</v>
      </c>
      <c r="AD1149">
        <v>0</v>
      </c>
      <c r="AE1149">
        <v>10</v>
      </c>
      <c r="AF1149" t="s">
        <v>126</v>
      </c>
      <c r="AG1149">
        <v>0</v>
      </c>
      <c r="AH1149">
        <v>0</v>
      </c>
      <c r="AI1149">
        <v>2</v>
      </c>
      <c r="AJ1149">
        <v>0</v>
      </c>
      <c r="AK1149" t="s">
        <v>572</v>
      </c>
      <c r="AL1149">
        <v>31.923007999999999</v>
      </c>
      <c r="AM1149" t="s">
        <v>631</v>
      </c>
      <c r="AN1149">
        <v>-100.969291</v>
      </c>
      <c r="AQ1149" t="s">
        <v>129</v>
      </c>
      <c r="AR1149">
        <v>2</v>
      </c>
      <c r="AS1149">
        <v>4</v>
      </c>
      <c r="AT1149">
        <v>-128</v>
      </c>
      <c r="BB1149" t="str">
        <f t="shared" si="127"/>
        <v>1200</v>
      </c>
      <c r="BC1149">
        <v>1</v>
      </c>
      <c r="BD1149" t="str">
        <f t="shared" si="129"/>
        <v xml:space="preserve">N745MB  </v>
      </c>
      <c r="BE1149">
        <v>1</v>
      </c>
      <c r="BG1149">
        <v>0</v>
      </c>
      <c r="BH1149">
        <v>0</v>
      </c>
      <c r="BI1149">
        <v>0</v>
      </c>
      <c r="BL1149" t="s">
        <v>130</v>
      </c>
      <c r="BM1149">
        <v>1</v>
      </c>
      <c r="BN1149">
        <v>0</v>
      </c>
      <c r="BO1149">
        <v>0</v>
      </c>
      <c r="BP1149">
        <v>0</v>
      </c>
      <c r="BT1149">
        <v>0</v>
      </c>
      <c r="BU1149">
        <v>0</v>
      </c>
      <c r="CE1149" t="str">
        <f>"20:27:50.525"</f>
        <v>20:27:50.525</v>
      </c>
      <c r="CF1149">
        <v>524825960</v>
      </c>
      <c r="CS1149">
        <v>0</v>
      </c>
      <c r="CT1149">
        <v>2</v>
      </c>
      <c r="CU1149">
        <v>0</v>
      </c>
      <c r="CV1149">
        <v>2</v>
      </c>
      <c r="CW1149">
        <v>0</v>
      </c>
      <c r="CX1149">
        <v>5</v>
      </c>
      <c r="CY1149">
        <v>7</v>
      </c>
      <c r="CZ1149" t="s">
        <v>131</v>
      </c>
      <c r="DA1149">
        <v>116</v>
      </c>
      <c r="DB1149">
        <v>0</v>
      </c>
      <c r="DC1149" t="s">
        <v>132</v>
      </c>
      <c r="DD1149" t="s">
        <v>133</v>
      </c>
      <c r="DG1149">
        <v>14763610</v>
      </c>
      <c r="DI1149">
        <v>0</v>
      </c>
      <c r="DJ1149">
        <v>1</v>
      </c>
      <c r="DK1149">
        <v>1</v>
      </c>
      <c r="DL1149">
        <v>0</v>
      </c>
      <c r="DM1149">
        <v>0</v>
      </c>
      <c r="DN1149">
        <v>0</v>
      </c>
      <c r="DO1149">
        <v>0</v>
      </c>
      <c r="DP1149">
        <v>1</v>
      </c>
      <c r="DQ1149">
        <v>0</v>
      </c>
      <c r="DR1149">
        <v>0</v>
      </c>
      <c r="DS1149">
        <v>1</v>
      </c>
    </row>
    <row r="1150" spans="1:123" x14ac:dyDescent="0.25">
      <c r="A1150" t="str">
        <f>"11/29/2023 20:27:51.040"</f>
        <v>11/29/2023 20:27:51.040</v>
      </c>
      <c r="C1150" t="str">
        <f t="shared" si="128"/>
        <v>FFDF53C0</v>
      </c>
      <c r="D1150" t="s">
        <v>135</v>
      </c>
      <c r="E1150">
        <v>31</v>
      </c>
      <c r="H1150">
        <v>285</v>
      </c>
      <c r="I1150" t="s">
        <v>136</v>
      </c>
      <c r="J1150" t="s">
        <v>137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>"20:27:50.523"</f>
        <v>20:27:50.523</v>
      </c>
      <c r="T1150" t="str">
        <f>"20:27:49.923"</f>
        <v>20:27:49.923</v>
      </c>
      <c r="U1150" t="str">
        <f t="shared" si="126"/>
        <v>AA0632</v>
      </c>
      <c r="V1150">
        <v>0</v>
      </c>
      <c r="W1150">
        <v>0</v>
      </c>
      <c r="X1150">
        <v>2</v>
      </c>
      <c r="Y1150">
        <v>0</v>
      </c>
      <c r="AA1150">
        <v>0</v>
      </c>
      <c r="AB1150">
        <v>9</v>
      </c>
      <c r="AC1150">
        <v>3</v>
      </c>
      <c r="AD1150">
        <v>0</v>
      </c>
      <c r="AE1150">
        <v>10</v>
      </c>
      <c r="AF1150" t="s">
        <v>126</v>
      </c>
      <c r="AG1150">
        <v>0</v>
      </c>
      <c r="AH1150">
        <v>0</v>
      </c>
      <c r="AI1150">
        <v>2</v>
      </c>
      <c r="AJ1150">
        <v>0</v>
      </c>
      <c r="AK1150" t="s">
        <v>572</v>
      </c>
      <c r="AL1150">
        <v>31.923007999999999</v>
      </c>
      <c r="AM1150" t="s">
        <v>631</v>
      </c>
      <c r="AN1150">
        <v>-100.969291</v>
      </c>
      <c r="AQ1150" t="s">
        <v>129</v>
      </c>
      <c r="AR1150">
        <v>2</v>
      </c>
      <c r="AS1150">
        <v>4</v>
      </c>
      <c r="AT1150">
        <v>-128</v>
      </c>
      <c r="BB1150" t="str">
        <f t="shared" si="127"/>
        <v>1200</v>
      </c>
      <c r="BC1150">
        <v>1</v>
      </c>
      <c r="BD1150" t="str">
        <f t="shared" si="129"/>
        <v xml:space="preserve">N745MB  </v>
      </c>
      <c r="BE1150">
        <v>1</v>
      </c>
      <c r="BG1150">
        <v>0</v>
      </c>
      <c r="BH1150">
        <v>0</v>
      </c>
      <c r="BI1150">
        <v>0</v>
      </c>
      <c r="BL1150" t="s">
        <v>130</v>
      </c>
      <c r="BM1150">
        <v>1</v>
      </c>
      <c r="BN1150">
        <v>0</v>
      </c>
      <c r="BO1150">
        <v>0</v>
      </c>
      <c r="BP1150">
        <v>0</v>
      </c>
      <c r="BT1150">
        <v>0</v>
      </c>
      <c r="BU1150">
        <v>0</v>
      </c>
      <c r="CE1150" t="str">
        <f>"20:27:50.525"</f>
        <v>20:27:50.525</v>
      </c>
      <c r="CF1150">
        <v>524825960</v>
      </c>
      <c r="CS1150">
        <v>0</v>
      </c>
      <c r="CT1150">
        <v>2</v>
      </c>
      <c r="CU1150">
        <v>0</v>
      </c>
      <c r="CV1150">
        <v>2</v>
      </c>
      <c r="CW1150">
        <v>0</v>
      </c>
      <c r="CX1150">
        <v>5</v>
      </c>
      <c r="CY1150">
        <v>7</v>
      </c>
      <c r="CZ1150" t="s">
        <v>131</v>
      </c>
      <c r="DA1150">
        <v>116</v>
      </c>
      <c r="DB1150">
        <v>0</v>
      </c>
      <c r="DC1150" t="s">
        <v>132</v>
      </c>
      <c r="DD1150" t="s">
        <v>133</v>
      </c>
      <c r="DG1150">
        <v>14763610</v>
      </c>
      <c r="DI1150">
        <v>0</v>
      </c>
      <c r="DJ1150">
        <v>1</v>
      </c>
      <c r="DK1150">
        <v>0</v>
      </c>
      <c r="DL1150">
        <v>0</v>
      </c>
      <c r="DM1150">
        <v>0</v>
      </c>
      <c r="DN1150">
        <v>0</v>
      </c>
      <c r="DO1150">
        <v>0</v>
      </c>
      <c r="DP1150">
        <v>1</v>
      </c>
      <c r="DQ1150">
        <v>0</v>
      </c>
      <c r="DR1150">
        <v>0</v>
      </c>
      <c r="DS1150">
        <v>1</v>
      </c>
    </row>
    <row r="1151" spans="1:123" x14ac:dyDescent="0.25">
      <c r="A1151" t="str">
        <f>"11/29/2023 20:27:51.087"</f>
        <v>11/29/2023 20:27:51.087</v>
      </c>
      <c r="C1151" t="str">
        <f t="shared" si="128"/>
        <v>FFDF53C0</v>
      </c>
      <c r="D1151" t="s">
        <v>138</v>
      </c>
      <c r="E1151">
        <v>3</v>
      </c>
      <c r="H1151">
        <v>160</v>
      </c>
      <c r="I1151" t="s">
        <v>124</v>
      </c>
      <c r="J1151" t="s">
        <v>139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>"20:27:50.523"</f>
        <v>20:27:50.523</v>
      </c>
      <c r="T1151" t="str">
        <f>"20:27:49.923"</f>
        <v>20:27:49.923</v>
      </c>
      <c r="U1151" t="str">
        <f t="shared" si="126"/>
        <v>AA0632</v>
      </c>
      <c r="V1151">
        <v>0</v>
      </c>
      <c r="W1151">
        <v>0</v>
      </c>
      <c r="X1151">
        <v>2</v>
      </c>
      <c r="Y1151">
        <v>0</v>
      </c>
      <c r="AA1151">
        <v>0</v>
      </c>
      <c r="AB1151">
        <v>9</v>
      </c>
      <c r="AC1151">
        <v>3</v>
      </c>
      <c r="AD1151">
        <v>0</v>
      </c>
      <c r="AE1151">
        <v>10</v>
      </c>
      <c r="AF1151" t="s">
        <v>126</v>
      </c>
      <c r="AG1151">
        <v>0</v>
      </c>
      <c r="AH1151">
        <v>0</v>
      </c>
      <c r="AI1151">
        <v>2</v>
      </c>
      <c r="AJ1151">
        <v>0</v>
      </c>
      <c r="AK1151" t="s">
        <v>572</v>
      </c>
      <c r="AL1151">
        <v>31.923007999999999</v>
      </c>
      <c r="AM1151" t="s">
        <v>631</v>
      </c>
      <c r="AN1151">
        <v>-100.969291</v>
      </c>
      <c r="AQ1151" t="s">
        <v>129</v>
      </c>
      <c r="AR1151">
        <v>2</v>
      </c>
      <c r="AS1151">
        <v>4</v>
      </c>
      <c r="AT1151">
        <v>-128</v>
      </c>
      <c r="BB1151" t="str">
        <f t="shared" si="127"/>
        <v>1200</v>
      </c>
      <c r="BC1151">
        <v>1</v>
      </c>
      <c r="BD1151" t="str">
        <f t="shared" si="129"/>
        <v xml:space="preserve">N745MB  </v>
      </c>
      <c r="BE1151">
        <v>1</v>
      </c>
      <c r="BG1151">
        <v>0</v>
      </c>
      <c r="BH1151">
        <v>0</v>
      </c>
      <c r="BI1151">
        <v>0</v>
      </c>
      <c r="BL1151" t="s">
        <v>130</v>
      </c>
      <c r="BM1151">
        <v>1</v>
      </c>
      <c r="BN1151">
        <v>0</v>
      </c>
      <c r="BO1151">
        <v>0</v>
      </c>
      <c r="BP1151">
        <v>0</v>
      </c>
      <c r="BT1151">
        <v>0</v>
      </c>
      <c r="BU1151">
        <v>0</v>
      </c>
      <c r="CE1151" t="str">
        <f>"20:27:50.525"</f>
        <v>20:27:50.525</v>
      </c>
      <c r="CF1151">
        <v>524825960</v>
      </c>
      <c r="CS1151">
        <v>0</v>
      </c>
      <c r="CT1151">
        <v>2</v>
      </c>
      <c r="CU1151">
        <v>0</v>
      </c>
      <c r="CV1151">
        <v>2</v>
      </c>
      <c r="CW1151">
        <v>0</v>
      </c>
      <c r="CX1151">
        <v>5</v>
      </c>
      <c r="CY1151">
        <v>7</v>
      </c>
      <c r="CZ1151" t="s">
        <v>131</v>
      </c>
      <c r="DA1151">
        <v>116</v>
      </c>
      <c r="DB1151">
        <v>0</v>
      </c>
      <c r="DC1151" t="s">
        <v>132</v>
      </c>
      <c r="DD1151" t="s">
        <v>133</v>
      </c>
      <c r="DG1151">
        <v>14763610</v>
      </c>
      <c r="DI1151">
        <v>0</v>
      </c>
      <c r="DJ1151">
        <v>1</v>
      </c>
      <c r="DK1151">
        <v>1</v>
      </c>
      <c r="DL1151">
        <v>0</v>
      </c>
      <c r="DM1151">
        <v>0</v>
      </c>
      <c r="DN1151">
        <v>0</v>
      </c>
      <c r="DO1151">
        <v>0</v>
      </c>
      <c r="DP1151">
        <v>1</v>
      </c>
      <c r="DQ1151">
        <v>0</v>
      </c>
      <c r="DR1151">
        <v>0</v>
      </c>
      <c r="DS1151">
        <v>1</v>
      </c>
    </row>
    <row r="1152" spans="1:123" x14ac:dyDescent="0.25">
      <c r="A1152" t="str">
        <f>"11/29/2023 20:27:52.399"</f>
        <v>11/29/2023 20:27:52.399</v>
      </c>
      <c r="C1152" t="str">
        <f t="shared" si="128"/>
        <v>FFDF53C0</v>
      </c>
      <c r="D1152" t="s">
        <v>135</v>
      </c>
      <c r="E1152">
        <v>31</v>
      </c>
      <c r="H1152">
        <v>285</v>
      </c>
      <c r="I1152" t="s">
        <v>136</v>
      </c>
      <c r="J1152" t="s">
        <v>137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>"20:27:52.047"</f>
        <v>20:27:52.047</v>
      </c>
      <c r="T1152" t="str">
        <f>"20:27:51.547"</f>
        <v>20:27:51.547</v>
      </c>
      <c r="U1152" t="str">
        <f t="shared" si="126"/>
        <v>AA0632</v>
      </c>
      <c r="V1152">
        <v>0</v>
      </c>
      <c r="W1152">
        <v>0</v>
      </c>
      <c r="X1152">
        <v>2</v>
      </c>
      <c r="Y1152">
        <v>0</v>
      </c>
      <c r="AA1152">
        <v>0</v>
      </c>
      <c r="AB1152">
        <v>9</v>
      </c>
      <c r="AC1152">
        <v>3</v>
      </c>
      <c r="AD1152">
        <v>0</v>
      </c>
      <c r="AE1152">
        <v>10</v>
      </c>
      <c r="AF1152" t="s">
        <v>126</v>
      </c>
      <c r="AG1152">
        <v>0</v>
      </c>
      <c r="AH1152">
        <v>0</v>
      </c>
      <c r="AI1152">
        <v>2</v>
      </c>
      <c r="AJ1152">
        <v>0</v>
      </c>
      <c r="AK1152" t="s">
        <v>576</v>
      </c>
      <c r="AL1152">
        <v>31.923072000000001</v>
      </c>
      <c r="AM1152" t="s">
        <v>672</v>
      </c>
      <c r="AN1152">
        <v>-100.96924799999999</v>
      </c>
      <c r="AQ1152" t="s">
        <v>129</v>
      </c>
      <c r="AR1152">
        <v>2</v>
      </c>
      <c r="AS1152">
        <v>5</v>
      </c>
      <c r="AT1152">
        <v>-128</v>
      </c>
      <c r="BB1152" t="str">
        <f t="shared" si="127"/>
        <v>1200</v>
      </c>
      <c r="BC1152">
        <v>1</v>
      </c>
      <c r="BD1152" t="str">
        <f t="shared" si="129"/>
        <v xml:space="preserve">N745MB  </v>
      </c>
      <c r="BE1152">
        <v>1</v>
      </c>
      <c r="BG1152">
        <v>0</v>
      </c>
      <c r="BH1152">
        <v>0</v>
      </c>
      <c r="BI1152">
        <v>0</v>
      </c>
      <c r="BL1152" t="s">
        <v>130</v>
      </c>
      <c r="BM1152">
        <v>1</v>
      </c>
      <c r="BN1152">
        <v>0</v>
      </c>
      <c r="BO1152">
        <v>0</v>
      </c>
      <c r="BP1152">
        <v>0</v>
      </c>
      <c r="BT1152">
        <v>0</v>
      </c>
      <c r="BU1152">
        <v>0</v>
      </c>
      <c r="CE1152" t="str">
        <f>"20:27:52.049"</f>
        <v>20:27:52.049</v>
      </c>
      <c r="CF1152">
        <v>48723642</v>
      </c>
      <c r="CS1152">
        <v>0</v>
      </c>
      <c r="CT1152">
        <v>2</v>
      </c>
      <c r="CU1152">
        <v>0</v>
      </c>
      <c r="CV1152">
        <v>2</v>
      </c>
      <c r="CW1152">
        <v>0</v>
      </c>
      <c r="CX1152">
        <v>4</v>
      </c>
      <c r="CY1152">
        <v>7</v>
      </c>
      <c r="CZ1152" t="s">
        <v>131</v>
      </c>
      <c r="DA1152">
        <v>116</v>
      </c>
      <c r="DB1152">
        <v>0</v>
      </c>
      <c r="DC1152" t="s">
        <v>132</v>
      </c>
      <c r="DD1152" t="s">
        <v>133</v>
      </c>
      <c r="DG1152">
        <v>14764877</v>
      </c>
      <c r="DI1152">
        <v>0</v>
      </c>
      <c r="DJ1152">
        <v>1</v>
      </c>
      <c r="DK1152">
        <v>0</v>
      </c>
      <c r="DL1152">
        <v>0</v>
      </c>
      <c r="DM1152">
        <v>0</v>
      </c>
      <c r="DN1152">
        <v>0</v>
      </c>
      <c r="DO1152">
        <v>0</v>
      </c>
      <c r="DP1152">
        <v>1</v>
      </c>
      <c r="DQ1152">
        <v>0</v>
      </c>
      <c r="DR1152">
        <v>0</v>
      </c>
      <c r="DS1152">
        <v>1</v>
      </c>
    </row>
    <row r="1153" spans="1:123" x14ac:dyDescent="0.25">
      <c r="A1153" t="str">
        <f>"11/29/2023 20:27:52.399"</f>
        <v>11/29/2023 20:27:52.399</v>
      </c>
      <c r="C1153" t="str">
        <f t="shared" si="128"/>
        <v>FFDF53C0</v>
      </c>
      <c r="D1153" t="s">
        <v>138</v>
      </c>
      <c r="E1153">
        <v>3</v>
      </c>
      <c r="H1153">
        <v>160</v>
      </c>
      <c r="I1153" t="s">
        <v>124</v>
      </c>
      <c r="J1153" t="s">
        <v>139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>"20:27:52.047"</f>
        <v>20:27:52.047</v>
      </c>
      <c r="T1153" t="str">
        <f>"20:27:51.547"</f>
        <v>20:27:51.547</v>
      </c>
      <c r="U1153" t="str">
        <f t="shared" si="126"/>
        <v>AA0632</v>
      </c>
      <c r="V1153">
        <v>0</v>
      </c>
      <c r="W1153">
        <v>0</v>
      </c>
      <c r="X1153">
        <v>2</v>
      </c>
      <c r="Y1153">
        <v>0</v>
      </c>
      <c r="AA1153">
        <v>0</v>
      </c>
      <c r="AB1153">
        <v>9</v>
      </c>
      <c r="AC1153">
        <v>3</v>
      </c>
      <c r="AD1153">
        <v>0</v>
      </c>
      <c r="AE1153">
        <v>10</v>
      </c>
      <c r="AF1153" t="s">
        <v>126</v>
      </c>
      <c r="AG1153">
        <v>0</v>
      </c>
      <c r="AH1153">
        <v>0</v>
      </c>
      <c r="AI1153">
        <v>2</v>
      </c>
      <c r="AJ1153">
        <v>0</v>
      </c>
      <c r="AK1153" t="s">
        <v>576</v>
      </c>
      <c r="AL1153">
        <v>31.923072000000001</v>
      </c>
      <c r="AM1153" t="s">
        <v>672</v>
      </c>
      <c r="AN1153">
        <v>-100.96924799999999</v>
      </c>
      <c r="AQ1153" t="s">
        <v>129</v>
      </c>
      <c r="AR1153">
        <v>2</v>
      </c>
      <c r="AS1153">
        <v>5</v>
      </c>
      <c r="AT1153">
        <v>-128</v>
      </c>
      <c r="BB1153" t="str">
        <f t="shared" si="127"/>
        <v>1200</v>
      </c>
      <c r="BC1153">
        <v>1</v>
      </c>
      <c r="BD1153" t="str">
        <f t="shared" si="129"/>
        <v xml:space="preserve">N745MB  </v>
      </c>
      <c r="BE1153">
        <v>1</v>
      </c>
      <c r="BG1153">
        <v>0</v>
      </c>
      <c r="BH1153">
        <v>0</v>
      </c>
      <c r="BI1153">
        <v>0</v>
      </c>
      <c r="BL1153" t="s">
        <v>130</v>
      </c>
      <c r="BM1153">
        <v>1</v>
      </c>
      <c r="BN1153">
        <v>0</v>
      </c>
      <c r="BO1153">
        <v>0</v>
      </c>
      <c r="BP1153">
        <v>0</v>
      </c>
      <c r="BT1153">
        <v>0</v>
      </c>
      <c r="BU1153">
        <v>0</v>
      </c>
      <c r="CE1153" t="str">
        <f>"20:27:52.049"</f>
        <v>20:27:52.049</v>
      </c>
      <c r="CF1153">
        <v>48723642</v>
      </c>
      <c r="CS1153">
        <v>0</v>
      </c>
      <c r="CT1153">
        <v>2</v>
      </c>
      <c r="CU1153">
        <v>0</v>
      </c>
      <c r="CV1153">
        <v>2</v>
      </c>
      <c r="CW1153">
        <v>0</v>
      </c>
      <c r="CX1153">
        <v>4</v>
      </c>
      <c r="CY1153">
        <v>7</v>
      </c>
      <c r="CZ1153" t="s">
        <v>131</v>
      </c>
      <c r="DA1153">
        <v>116</v>
      </c>
      <c r="DB1153">
        <v>0</v>
      </c>
      <c r="DC1153" t="s">
        <v>132</v>
      </c>
      <c r="DD1153" t="s">
        <v>133</v>
      </c>
      <c r="DG1153">
        <v>14764877</v>
      </c>
      <c r="DI1153">
        <v>0</v>
      </c>
      <c r="DJ1153">
        <v>1</v>
      </c>
      <c r="DK1153">
        <v>1</v>
      </c>
      <c r="DL1153">
        <v>0</v>
      </c>
      <c r="DM1153">
        <v>0</v>
      </c>
      <c r="DN1153">
        <v>0</v>
      </c>
      <c r="DO1153">
        <v>0</v>
      </c>
      <c r="DP1153">
        <v>1</v>
      </c>
      <c r="DQ1153">
        <v>0</v>
      </c>
      <c r="DR1153">
        <v>0</v>
      </c>
      <c r="DS1153">
        <v>1</v>
      </c>
    </row>
    <row r="1154" spans="1:123" x14ac:dyDescent="0.25">
      <c r="A1154" t="str">
        <f>"11/29/2023 20:27:52.399"</f>
        <v>11/29/2023 20:27:52.399</v>
      </c>
      <c r="C1154" t="str">
        <f t="shared" si="128"/>
        <v>FFDF53C0</v>
      </c>
      <c r="D1154" t="s">
        <v>123</v>
      </c>
      <c r="E1154">
        <v>14</v>
      </c>
      <c r="F1154">
        <v>1014</v>
      </c>
      <c r="G1154" t="s">
        <v>124</v>
      </c>
      <c r="J1154" t="s">
        <v>125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>"20:27:52.047"</f>
        <v>20:27:52.047</v>
      </c>
      <c r="T1154" t="str">
        <f>"20:27:51.547"</f>
        <v>20:27:51.547</v>
      </c>
      <c r="U1154" t="str">
        <f t="shared" ref="U1154:U1217" si="131">"AA0632"</f>
        <v>AA0632</v>
      </c>
      <c r="V1154">
        <v>0</v>
      </c>
      <c r="W1154">
        <v>0</v>
      </c>
      <c r="X1154">
        <v>2</v>
      </c>
      <c r="Y1154">
        <v>0</v>
      </c>
      <c r="AA1154">
        <v>0</v>
      </c>
      <c r="AB1154">
        <v>9</v>
      </c>
      <c r="AC1154">
        <v>3</v>
      </c>
      <c r="AD1154">
        <v>0</v>
      </c>
      <c r="AE1154">
        <v>10</v>
      </c>
      <c r="AF1154" t="s">
        <v>126</v>
      </c>
      <c r="AG1154">
        <v>0</v>
      </c>
      <c r="AH1154">
        <v>0</v>
      </c>
      <c r="AI1154">
        <v>2</v>
      </c>
      <c r="AJ1154">
        <v>0</v>
      </c>
      <c r="AK1154" t="s">
        <v>576</v>
      </c>
      <c r="AL1154">
        <v>31.923072000000001</v>
      </c>
      <c r="AM1154" t="s">
        <v>672</v>
      </c>
      <c r="AN1154">
        <v>-100.96924799999999</v>
      </c>
      <c r="AQ1154" t="s">
        <v>129</v>
      </c>
      <c r="AR1154">
        <v>2</v>
      </c>
      <c r="AS1154">
        <v>5</v>
      </c>
      <c r="AT1154">
        <v>-128</v>
      </c>
      <c r="BB1154" t="str">
        <f t="shared" ref="BB1154:BB1217" si="132">"1200"</f>
        <v>1200</v>
      </c>
      <c r="BC1154">
        <v>1</v>
      </c>
      <c r="BD1154" t="str">
        <f t="shared" si="129"/>
        <v xml:space="preserve">N745MB  </v>
      </c>
      <c r="BE1154">
        <v>1</v>
      </c>
      <c r="BG1154">
        <v>0</v>
      </c>
      <c r="BH1154">
        <v>0</v>
      </c>
      <c r="BI1154">
        <v>0</v>
      </c>
      <c r="BL1154" t="s">
        <v>130</v>
      </c>
      <c r="BM1154">
        <v>1</v>
      </c>
      <c r="BN1154">
        <v>0</v>
      </c>
      <c r="BO1154">
        <v>0</v>
      </c>
      <c r="BP1154">
        <v>0</v>
      </c>
      <c r="BT1154">
        <v>0</v>
      </c>
      <c r="BU1154">
        <v>0</v>
      </c>
      <c r="CE1154" t="str">
        <f>"20:27:52.049"</f>
        <v>20:27:52.049</v>
      </c>
      <c r="CF1154">
        <v>48723642</v>
      </c>
      <c r="CS1154">
        <v>0</v>
      </c>
      <c r="CT1154">
        <v>2</v>
      </c>
      <c r="CU1154">
        <v>0</v>
      </c>
      <c r="CV1154">
        <v>2</v>
      </c>
      <c r="CW1154">
        <v>0</v>
      </c>
      <c r="CX1154">
        <v>4</v>
      </c>
      <c r="CY1154">
        <v>7</v>
      </c>
      <c r="CZ1154" t="s">
        <v>131</v>
      </c>
      <c r="DA1154">
        <v>116</v>
      </c>
      <c r="DB1154">
        <v>0</v>
      </c>
      <c r="DC1154" t="s">
        <v>132</v>
      </c>
      <c r="DD1154" t="s">
        <v>133</v>
      </c>
      <c r="DG1154">
        <v>14764877</v>
      </c>
      <c r="DI1154">
        <v>0</v>
      </c>
      <c r="DJ1154">
        <v>1</v>
      </c>
      <c r="DK1154">
        <v>1</v>
      </c>
      <c r="DL1154">
        <v>0</v>
      </c>
      <c r="DM1154">
        <v>0</v>
      </c>
      <c r="DN1154">
        <v>0</v>
      </c>
      <c r="DO1154">
        <v>0</v>
      </c>
      <c r="DP1154">
        <v>1</v>
      </c>
      <c r="DQ1154">
        <v>0</v>
      </c>
      <c r="DR1154">
        <v>0</v>
      </c>
      <c r="DS1154">
        <v>1</v>
      </c>
    </row>
    <row r="1155" spans="1:123" x14ac:dyDescent="0.25">
      <c r="A1155" t="str">
        <f>"11/29/2023 20:27:52.477"</f>
        <v>11/29/2023 20:27:52.477</v>
      </c>
      <c r="C1155" t="str">
        <f t="shared" si="128"/>
        <v>FFDF53C0</v>
      </c>
      <c r="D1155" t="s">
        <v>123</v>
      </c>
      <c r="E1155">
        <v>1</v>
      </c>
      <c r="F1155">
        <v>1001</v>
      </c>
      <c r="G1155" t="s">
        <v>134</v>
      </c>
      <c r="J1155" t="s">
        <v>125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>"20:27:52.047"</f>
        <v>20:27:52.047</v>
      </c>
      <c r="T1155" t="str">
        <f>"20:27:51.547"</f>
        <v>20:27:51.547</v>
      </c>
      <c r="U1155" t="str">
        <f t="shared" si="131"/>
        <v>AA0632</v>
      </c>
      <c r="V1155">
        <v>0</v>
      </c>
      <c r="W1155">
        <v>0</v>
      </c>
      <c r="X1155">
        <v>2</v>
      </c>
      <c r="Y1155">
        <v>0</v>
      </c>
      <c r="AA1155">
        <v>0</v>
      </c>
      <c r="AB1155">
        <v>9</v>
      </c>
      <c r="AC1155">
        <v>3</v>
      </c>
      <c r="AD1155">
        <v>0</v>
      </c>
      <c r="AE1155">
        <v>10</v>
      </c>
      <c r="AF1155" t="s">
        <v>126</v>
      </c>
      <c r="AG1155">
        <v>0</v>
      </c>
      <c r="AH1155">
        <v>0</v>
      </c>
      <c r="AI1155">
        <v>2</v>
      </c>
      <c r="AJ1155">
        <v>0</v>
      </c>
      <c r="AK1155" t="s">
        <v>576</v>
      </c>
      <c r="AL1155">
        <v>31.923072000000001</v>
      </c>
      <c r="AM1155" t="s">
        <v>672</v>
      </c>
      <c r="AN1155">
        <v>-100.96924799999999</v>
      </c>
      <c r="AQ1155" t="s">
        <v>129</v>
      </c>
      <c r="AR1155">
        <v>2</v>
      </c>
      <c r="AS1155">
        <v>5</v>
      </c>
      <c r="AT1155">
        <v>-128</v>
      </c>
      <c r="BB1155" t="str">
        <f t="shared" si="132"/>
        <v>1200</v>
      </c>
      <c r="BC1155">
        <v>1</v>
      </c>
      <c r="BD1155" t="str">
        <f t="shared" si="129"/>
        <v xml:space="preserve">N745MB  </v>
      </c>
      <c r="BE1155">
        <v>1</v>
      </c>
      <c r="BG1155">
        <v>0</v>
      </c>
      <c r="BH1155">
        <v>0</v>
      </c>
      <c r="BI1155">
        <v>0</v>
      </c>
      <c r="BL1155" t="s">
        <v>130</v>
      </c>
      <c r="BM1155">
        <v>1</v>
      </c>
      <c r="BN1155">
        <v>0</v>
      </c>
      <c r="BO1155">
        <v>0</v>
      </c>
      <c r="BP1155">
        <v>0</v>
      </c>
      <c r="BT1155">
        <v>0</v>
      </c>
      <c r="BU1155">
        <v>0</v>
      </c>
      <c r="CE1155" t="str">
        <f>"20:27:52.049"</f>
        <v>20:27:52.049</v>
      </c>
      <c r="CF1155">
        <v>48723642</v>
      </c>
      <c r="CS1155">
        <v>0</v>
      </c>
      <c r="CT1155">
        <v>2</v>
      </c>
      <c r="CU1155">
        <v>0</v>
      </c>
      <c r="CV1155">
        <v>2</v>
      </c>
      <c r="CW1155">
        <v>0</v>
      </c>
      <c r="CX1155">
        <v>4</v>
      </c>
      <c r="CY1155">
        <v>7</v>
      </c>
      <c r="CZ1155" t="s">
        <v>131</v>
      </c>
      <c r="DA1155">
        <v>116</v>
      </c>
      <c r="DB1155">
        <v>0</v>
      </c>
      <c r="DC1155" t="s">
        <v>132</v>
      </c>
      <c r="DD1155" t="s">
        <v>133</v>
      </c>
      <c r="DG1155">
        <v>14764877</v>
      </c>
      <c r="DI1155">
        <v>0</v>
      </c>
      <c r="DJ1155">
        <v>1</v>
      </c>
      <c r="DK1155">
        <v>1</v>
      </c>
      <c r="DL1155">
        <v>0</v>
      </c>
      <c r="DM1155">
        <v>0</v>
      </c>
      <c r="DN1155">
        <v>0</v>
      </c>
      <c r="DO1155">
        <v>0</v>
      </c>
      <c r="DP1155">
        <v>1</v>
      </c>
      <c r="DQ1155">
        <v>0</v>
      </c>
      <c r="DR1155">
        <v>0</v>
      </c>
      <c r="DS1155">
        <v>1</v>
      </c>
    </row>
    <row r="1156" spans="1:123" x14ac:dyDescent="0.25">
      <c r="A1156" t="str">
        <f>"11/29/2023 20:27:53.759"</f>
        <v>11/29/2023 20:27:53.759</v>
      </c>
      <c r="C1156" t="str">
        <f t="shared" si="128"/>
        <v>FFDF53C0</v>
      </c>
      <c r="D1156" t="s">
        <v>135</v>
      </c>
      <c r="E1156">
        <v>31</v>
      </c>
      <c r="H1156">
        <v>285</v>
      </c>
      <c r="I1156" t="s">
        <v>136</v>
      </c>
      <c r="J1156" t="s">
        <v>137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>"20:27:53.398"</f>
        <v>20:27:53.398</v>
      </c>
      <c r="T1156" t="str">
        <f>"20:27:53.098"</f>
        <v>20:27:53.098</v>
      </c>
      <c r="U1156" t="str">
        <f t="shared" si="131"/>
        <v>AA0632</v>
      </c>
      <c r="V1156">
        <v>0</v>
      </c>
      <c r="W1156">
        <v>0</v>
      </c>
      <c r="X1156">
        <v>2</v>
      </c>
      <c r="Y1156">
        <v>0</v>
      </c>
      <c r="AA1156">
        <v>0</v>
      </c>
      <c r="AB1156">
        <v>9</v>
      </c>
      <c r="AC1156">
        <v>3</v>
      </c>
      <c r="AD1156">
        <v>0</v>
      </c>
      <c r="AE1156">
        <v>10</v>
      </c>
      <c r="AF1156" t="s">
        <v>126</v>
      </c>
      <c r="AG1156">
        <v>0</v>
      </c>
      <c r="AH1156">
        <v>0</v>
      </c>
      <c r="AI1156">
        <v>2</v>
      </c>
      <c r="AJ1156">
        <v>0</v>
      </c>
      <c r="AK1156" t="s">
        <v>578</v>
      </c>
      <c r="AL1156">
        <v>31.923114999999999</v>
      </c>
      <c r="AM1156" t="s">
        <v>672</v>
      </c>
      <c r="AN1156">
        <v>-100.96924799999999</v>
      </c>
      <c r="AQ1156" t="s">
        <v>129</v>
      </c>
      <c r="AR1156">
        <v>1</v>
      </c>
      <c r="AS1156">
        <v>5</v>
      </c>
      <c r="AT1156">
        <v>-192</v>
      </c>
      <c r="BB1156" t="str">
        <f t="shared" si="132"/>
        <v>1200</v>
      </c>
      <c r="BC1156">
        <v>1</v>
      </c>
      <c r="BD1156" t="str">
        <f t="shared" si="129"/>
        <v xml:space="preserve">N745MB  </v>
      </c>
      <c r="BE1156">
        <v>1</v>
      </c>
      <c r="BG1156">
        <v>0</v>
      </c>
      <c r="BH1156">
        <v>0</v>
      </c>
      <c r="BI1156">
        <v>0</v>
      </c>
      <c r="BL1156" t="s">
        <v>130</v>
      </c>
      <c r="BM1156">
        <v>1</v>
      </c>
      <c r="BN1156">
        <v>0</v>
      </c>
      <c r="BO1156">
        <v>0</v>
      </c>
      <c r="BP1156">
        <v>0</v>
      </c>
      <c r="BT1156">
        <v>0</v>
      </c>
      <c r="BU1156">
        <v>0</v>
      </c>
      <c r="CE1156" t="str">
        <f>"20:27:53.401"</f>
        <v>20:27:53.401</v>
      </c>
      <c r="CF1156">
        <v>400633207</v>
      </c>
      <c r="CS1156">
        <v>0</v>
      </c>
      <c r="CT1156">
        <v>2</v>
      </c>
      <c r="CU1156">
        <v>0</v>
      </c>
      <c r="CV1156">
        <v>2</v>
      </c>
      <c r="CW1156">
        <v>0</v>
      </c>
      <c r="CX1156">
        <v>4</v>
      </c>
      <c r="CY1156">
        <v>7</v>
      </c>
      <c r="CZ1156" t="s">
        <v>131</v>
      </c>
      <c r="DA1156">
        <v>116</v>
      </c>
      <c r="DB1156">
        <v>0</v>
      </c>
      <c r="DC1156" t="s">
        <v>132</v>
      </c>
      <c r="DD1156" t="s">
        <v>133</v>
      </c>
      <c r="DG1156">
        <v>14765968</v>
      </c>
      <c r="DI1156">
        <v>0</v>
      </c>
      <c r="DJ1156">
        <v>1</v>
      </c>
      <c r="DK1156">
        <v>0</v>
      </c>
      <c r="DL1156">
        <v>0</v>
      </c>
      <c r="DM1156">
        <v>0</v>
      </c>
      <c r="DN1156">
        <v>0</v>
      </c>
      <c r="DO1156">
        <v>0</v>
      </c>
      <c r="DP1156">
        <v>1</v>
      </c>
      <c r="DQ1156">
        <v>0</v>
      </c>
      <c r="DR1156">
        <v>0</v>
      </c>
      <c r="DS1156">
        <v>1</v>
      </c>
    </row>
    <row r="1157" spans="1:123" x14ac:dyDescent="0.25">
      <c r="A1157" t="str">
        <f>"11/29/2023 20:27:53.759"</f>
        <v>11/29/2023 20:27:53.759</v>
      </c>
      <c r="C1157" t="str">
        <f t="shared" si="128"/>
        <v>FFDF53C0</v>
      </c>
      <c r="D1157" t="s">
        <v>138</v>
      </c>
      <c r="E1157">
        <v>3</v>
      </c>
      <c r="H1157">
        <v>160</v>
      </c>
      <c r="I1157" t="s">
        <v>124</v>
      </c>
      <c r="J1157" t="s">
        <v>139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>"20:27:53.398"</f>
        <v>20:27:53.398</v>
      </c>
      <c r="T1157" t="str">
        <f>"20:27:53.098"</f>
        <v>20:27:53.098</v>
      </c>
      <c r="U1157" t="str">
        <f t="shared" si="131"/>
        <v>AA0632</v>
      </c>
      <c r="V1157">
        <v>0</v>
      </c>
      <c r="W1157">
        <v>0</v>
      </c>
      <c r="X1157">
        <v>2</v>
      </c>
      <c r="Y1157">
        <v>0</v>
      </c>
      <c r="AA1157">
        <v>0</v>
      </c>
      <c r="AB1157">
        <v>9</v>
      </c>
      <c r="AC1157">
        <v>3</v>
      </c>
      <c r="AD1157">
        <v>0</v>
      </c>
      <c r="AE1157">
        <v>10</v>
      </c>
      <c r="AF1157" t="s">
        <v>126</v>
      </c>
      <c r="AG1157">
        <v>0</v>
      </c>
      <c r="AH1157">
        <v>0</v>
      </c>
      <c r="AI1157">
        <v>2</v>
      </c>
      <c r="AJ1157">
        <v>0</v>
      </c>
      <c r="AK1157" t="s">
        <v>578</v>
      </c>
      <c r="AL1157">
        <v>31.923114999999999</v>
      </c>
      <c r="AM1157" t="s">
        <v>672</v>
      </c>
      <c r="AN1157">
        <v>-100.96924799999999</v>
      </c>
      <c r="AQ1157" t="s">
        <v>129</v>
      </c>
      <c r="AR1157">
        <v>1</v>
      </c>
      <c r="AS1157">
        <v>5</v>
      </c>
      <c r="AT1157">
        <v>-192</v>
      </c>
      <c r="BB1157" t="str">
        <f t="shared" si="132"/>
        <v>1200</v>
      </c>
      <c r="BC1157">
        <v>1</v>
      </c>
      <c r="BD1157" t="str">
        <f t="shared" si="129"/>
        <v xml:space="preserve">N745MB  </v>
      </c>
      <c r="BE1157">
        <v>1</v>
      </c>
      <c r="BG1157">
        <v>0</v>
      </c>
      <c r="BH1157">
        <v>0</v>
      </c>
      <c r="BI1157">
        <v>0</v>
      </c>
      <c r="BL1157" t="s">
        <v>130</v>
      </c>
      <c r="BM1157">
        <v>1</v>
      </c>
      <c r="BN1157">
        <v>0</v>
      </c>
      <c r="BO1157">
        <v>0</v>
      </c>
      <c r="BP1157">
        <v>0</v>
      </c>
      <c r="BT1157">
        <v>0</v>
      </c>
      <c r="BU1157">
        <v>0</v>
      </c>
      <c r="CE1157" t="str">
        <f>"20:27:53.401"</f>
        <v>20:27:53.401</v>
      </c>
      <c r="CF1157">
        <v>400633207</v>
      </c>
      <c r="CS1157">
        <v>0</v>
      </c>
      <c r="CT1157">
        <v>2</v>
      </c>
      <c r="CU1157">
        <v>0</v>
      </c>
      <c r="CV1157">
        <v>2</v>
      </c>
      <c r="CW1157">
        <v>0</v>
      </c>
      <c r="CX1157">
        <v>4</v>
      </c>
      <c r="CY1157">
        <v>7</v>
      </c>
      <c r="CZ1157" t="s">
        <v>131</v>
      </c>
      <c r="DA1157">
        <v>116</v>
      </c>
      <c r="DB1157">
        <v>0</v>
      </c>
      <c r="DC1157" t="s">
        <v>132</v>
      </c>
      <c r="DD1157" t="s">
        <v>133</v>
      </c>
      <c r="DG1157">
        <v>14765968</v>
      </c>
      <c r="DI1157">
        <v>0</v>
      </c>
      <c r="DJ1157">
        <v>1</v>
      </c>
      <c r="DK1157">
        <v>1</v>
      </c>
      <c r="DL1157">
        <v>0</v>
      </c>
      <c r="DM1157">
        <v>0</v>
      </c>
      <c r="DN1157">
        <v>0</v>
      </c>
      <c r="DO1157">
        <v>0</v>
      </c>
      <c r="DP1157">
        <v>1</v>
      </c>
      <c r="DQ1157">
        <v>0</v>
      </c>
      <c r="DR1157">
        <v>0</v>
      </c>
      <c r="DS1157">
        <v>1</v>
      </c>
    </row>
    <row r="1158" spans="1:123" x14ac:dyDescent="0.25">
      <c r="A1158" t="str">
        <f>"11/29/2023 20:27:53.759"</f>
        <v>11/29/2023 20:27:53.759</v>
      </c>
      <c r="C1158" t="str">
        <f t="shared" si="128"/>
        <v>FFDF53C0</v>
      </c>
      <c r="D1158" t="s">
        <v>123</v>
      </c>
      <c r="E1158">
        <v>14</v>
      </c>
      <c r="F1158">
        <v>1014</v>
      </c>
      <c r="G1158" t="s">
        <v>124</v>
      </c>
      <c r="J1158" t="s">
        <v>125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>"20:27:53.398"</f>
        <v>20:27:53.398</v>
      </c>
      <c r="T1158" t="str">
        <f>"20:27:53.098"</f>
        <v>20:27:53.098</v>
      </c>
      <c r="U1158" t="str">
        <f t="shared" si="131"/>
        <v>AA0632</v>
      </c>
      <c r="V1158">
        <v>0</v>
      </c>
      <c r="W1158">
        <v>0</v>
      </c>
      <c r="X1158">
        <v>2</v>
      </c>
      <c r="Y1158">
        <v>0</v>
      </c>
      <c r="AA1158">
        <v>0</v>
      </c>
      <c r="AB1158">
        <v>9</v>
      </c>
      <c r="AC1158">
        <v>3</v>
      </c>
      <c r="AD1158">
        <v>0</v>
      </c>
      <c r="AE1158">
        <v>10</v>
      </c>
      <c r="AF1158" t="s">
        <v>126</v>
      </c>
      <c r="AG1158">
        <v>0</v>
      </c>
      <c r="AH1158">
        <v>0</v>
      </c>
      <c r="AI1158">
        <v>2</v>
      </c>
      <c r="AJ1158">
        <v>0</v>
      </c>
      <c r="AK1158" t="s">
        <v>578</v>
      </c>
      <c r="AL1158">
        <v>31.923114999999999</v>
      </c>
      <c r="AM1158" t="s">
        <v>672</v>
      </c>
      <c r="AN1158">
        <v>-100.96924799999999</v>
      </c>
      <c r="AQ1158" t="s">
        <v>129</v>
      </c>
      <c r="AR1158">
        <v>1</v>
      </c>
      <c r="AS1158">
        <v>5</v>
      </c>
      <c r="AT1158">
        <v>-192</v>
      </c>
      <c r="BB1158" t="str">
        <f t="shared" si="132"/>
        <v>1200</v>
      </c>
      <c r="BC1158">
        <v>1</v>
      </c>
      <c r="BD1158" t="str">
        <f t="shared" si="129"/>
        <v xml:space="preserve">N745MB  </v>
      </c>
      <c r="BE1158">
        <v>1</v>
      </c>
      <c r="BG1158">
        <v>0</v>
      </c>
      <c r="BH1158">
        <v>0</v>
      </c>
      <c r="BI1158">
        <v>0</v>
      </c>
      <c r="BL1158" t="s">
        <v>130</v>
      </c>
      <c r="BM1158">
        <v>1</v>
      </c>
      <c r="BN1158">
        <v>0</v>
      </c>
      <c r="BO1158">
        <v>0</v>
      </c>
      <c r="BP1158">
        <v>0</v>
      </c>
      <c r="BT1158">
        <v>0</v>
      </c>
      <c r="BU1158">
        <v>0</v>
      </c>
      <c r="CE1158" t="str">
        <f>"20:27:53.401"</f>
        <v>20:27:53.401</v>
      </c>
      <c r="CF1158">
        <v>400633207</v>
      </c>
      <c r="CS1158">
        <v>0</v>
      </c>
      <c r="CT1158">
        <v>2</v>
      </c>
      <c r="CU1158">
        <v>0</v>
      </c>
      <c r="CV1158">
        <v>2</v>
      </c>
      <c r="CW1158">
        <v>0</v>
      </c>
      <c r="CX1158">
        <v>4</v>
      </c>
      <c r="CY1158">
        <v>7</v>
      </c>
      <c r="CZ1158" t="s">
        <v>131</v>
      </c>
      <c r="DA1158">
        <v>116</v>
      </c>
      <c r="DB1158">
        <v>0</v>
      </c>
      <c r="DC1158" t="s">
        <v>132</v>
      </c>
      <c r="DD1158" t="s">
        <v>133</v>
      </c>
      <c r="DG1158">
        <v>14765968</v>
      </c>
      <c r="DI1158">
        <v>0</v>
      </c>
      <c r="DJ1158">
        <v>1</v>
      </c>
      <c r="DK1158">
        <v>1</v>
      </c>
      <c r="DL1158">
        <v>0</v>
      </c>
      <c r="DM1158">
        <v>0</v>
      </c>
      <c r="DN1158">
        <v>0</v>
      </c>
      <c r="DO1158">
        <v>0</v>
      </c>
      <c r="DP1158">
        <v>1</v>
      </c>
      <c r="DQ1158">
        <v>0</v>
      </c>
      <c r="DR1158">
        <v>0</v>
      </c>
      <c r="DS1158">
        <v>1</v>
      </c>
    </row>
    <row r="1159" spans="1:123" x14ac:dyDescent="0.25">
      <c r="A1159" t="str">
        <f>"11/29/2023 20:27:53.759"</f>
        <v>11/29/2023 20:27:53.759</v>
      </c>
      <c r="C1159" t="str">
        <f t="shared" si="128"/>
        <v>FFDF53C0</v>
      </c>
      <c r="D1159" t="s">
        <v>123</v>
      </c>
      <c r="E1159">
        <v>1</v>
      </c>
      <c r="F1159">
        <v>1001</v>
      </c>
      <c r="G1159" t="s">
        <v>134</v>
      </c>
      <c r="J1159" t="s">
        <v>125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>"20:27:53.398"</f>
        <v>20:27:53.398</v>
      </c>
      <c r="T1159" t="str">
        <f>"20:27:53.098"</f>
        <v>20:27:53.098</v>
      </c>
      <c r="U1159" t="str">
        <f t="shared" si="131"/>
        <v>AA0632</v>
      </c>
      <c r="V1159">
        <v>0</v>
      </c>
      <c r="W1159">
        <v>0</v>
      </c>
      <c r="X1159">
        <v>2</v>
      </c>
      <c r="Y1159">
        <v>0</v>
      </c>
      <c r="AA1159">
        <v>0</v>
      </c>
      <c r="AB1159">
        <v>9</v>
      </c>
      <c r="AC1159">
        <v>3</v>
      </c>
      <c r="AD1159">
        <v>0</v>
      </c>
      <c r="AE1159">
        <v>10</v>
      </c>
      <c r="AF1159" t="s">
        <v>126</v>
      </c>
      <c r="AG1159">
        <v>0</v>
      </c>
      <c r="AH1159">
        <v>0</v>
      </c>
      <c r="AI1159">
        <v>2</v>
      </c>
      <c r="AJ1159">
        <v>0</v>
      </c>
      <c r="AK1159" t="s">
        <v>578</v>
      </c>
      <c r="AL1159">
        <v>31.923114999999999</v>
      </c>
      <c r="AM1159" t="s">
        <v>672</v>
      </c>
      <c r="AN1159">
        <v>-100.96924799999999</v>
      </c>
      <c r="AQ1159" t="s">
        <v>129</v>
      </c>
      <c r="AR1159">
        <v>1</v>
      </c>
      <c r="AS1159">
        <v>5</v>
      </c>
      <c r="AT1159">
        <v>-192</v>
      </c>
      <c r="BB1159" t="str">
        <f t="shared" si="132"/>
        <v>1200</v>
      </c>
      <c r="BC1159">
        <v>1</v>
      </c>
      <c r="BD1159" t="str">
        <f t="shared" si="129"/>
        <v xml:space="preserve">N745MB  </v>
      </c>
      <c r="BE1159">
        <v>1</v>
      </c>
      <c r="BG1159">
        <v>0</v>
      </c>
      <c r="BH1159">
        <v>0</v>
      </c>
      <c r="BI1159">
        <v>0</v>
      </c>
      <c r="BL1159" t="s">
        <v>130</v>
      </c>
      <c r="BM1159">
        <v>1</v>
      </c>
      <c r="BN1159">
        <v>0</v>
      </c>
      <c r="BO1159">
        <v>0</v>
      </c>
      <c r="BP1159">
        <v>0</v>
      </c>
      <c r="BT1159">
        <v>0</v>
      </c>
      <c r="BU1159">
        <v>0</v>
      </c>
      <c r="CE1159" t="str">
        <f>"20:27:53.401"</f>
        <v>20:27:53.401</v>
      </c>
      <c r="CF1159">
        <v>400633207</v>
      </c>
      <c r="CS1159">
        <v>0</v>
      </c>
      <c r="CT1159">
        <v>2</v>
      </c>
      <c r="CU1159">
        <v>0</v>
      </c>
      <c r="CV1159">
        <v>2</v>
      </c>
      <c r="CW1159">
        <v>0</v>
      </c>
      <c r="CX1159">
        <v>4</v>
      </c>
      <c r="CY1159">
        <v>7</v>
      </c>
      <c r="CZ1159" t="s">
        <v>131</v>
      </c>
      <c r="DA1159">
        <v>116</v>
      </c>
      <c r="DB1159">
        <v>0</v>
      </c>
      <c r="DC1159" t="s">
        <v>132</v>
      </c>
      <c r="DD1159" t="s">
        <v>133</v>
      </c>
      <c r="DG1159">
        <v>14765968</v>
      </c>
      <c r="DI1159">
        <v>0</v>
      </c>
      <c r="DJ1159">
        <v>1</v>
      </c>
      <c r="DK1159">
        <v>1</v>
      </c>
      <c r="DL1159">
        <v>0</v>
      </c>
      <c r="DM1159">
        <v>0</v>
      </c>
      <c r="DN1159">
        <v>0</v>
      </c>
      <c r="DO1159">
        <v>0</v>
      </c>
      <c r="DP1159">
        <v>1</v>
      </c>
      <c r="DQ1159">
        <v>0</v>
      </c>
      <c r="DR1159">
        <v>0</v>
      </c>
      <c r="DS1159">
        <v>1</v>
      </c>
    </row>
    <row r="1160" spans="1:123" x14ac:dyDescent="0.25">
      <c r="A1160" t="str">
        <f>"11/29/2023 20:27:55.509"</f>
        <v>11/29/2023 20:27:55.509</v>
      </c>
      <c r="C1160" t="str">
        <f t="shared" si="128"/>
        <v>FFDF53C0</v>
      </c>
      <c r="D1160" t="s">
        <v>135</v>
      </c>
      <c r="E1160">
        <v>31</v>
      </c>
      <c r="H1160">
        <v>285</v>
      </c>
      <c r="I1160" t="s">
        <v>136</v>
      </c>
      <c r="J1160" t="s">
        <v>137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>"20:27:54.984"</f>
        <v>20:27:54.984</v>
      </c>
      <c r="T1160" t="str">
        <f>"20:27:54.884"</f>
        <v>20:27:54.884</v>
      </c>
      <c r="U1160" t="str">
        <f t="shared" si="131"/>
        <v>AA0632</v>
      </c>
      <c r="V1160">
        <v>0</v>
      </c>
      <c r="W1160">
        <v>0</v>
      </c>
      <c r="X1160">
        <v>2</v>
      </c>
      <c r="Y1160">
        <v>0</v>
      </c>
      <c r="AA1160">
        <v>0</v>
      </c>
      <c r="AB1160">
        <v>9</v>
      </c>
      <c r="AC1160">
        <v>3</v>
      </c>
      <c r="AD1160">
        <v>0</v>
      </c>
      <c r="AE1160">
        <v>10</v>
      </c>
      <c r="AF1160" t="s">
        <v>126</v>
      </c>
      <c r="AG1160">
        <v>0</v>
      </c>
      <c r="AH1160">
        <v>0</v>
      </c>
      <c r="AI1160">
        <v>2</v>
      </c>
      <c r="AJ1160">
        <v>0</v>
      </c>
      <c r="AK1160" t="s">
        <v>578</v>
      </c>
      <c r="AL1160">
        <v>31.923114999999999</v>
      </c>
      <c r="AM1160" t="s">
        <v>672</v>
      </c>
      <c r="AN1160">
        <v>-100.96924799999999</v>
      </c>
      <c r="AQ1160" t="s">
        <v>129</v>
      </c>
      <c r="AR1160">
        <v>1</v>
      </c>
      <c r="AS1160">
        <v>4</v>
      </c>
      <c r="AT1160">
        <v>-128</v>
      </c>
      <c r="BB1160" t="str">
        <f t="shared" si="132"/>
        <v>1200</v>
      </c>
      <c r="BC1160">
        <v>1</v>
      </c>
      <c r="BD1160" t="str">
        <f t="shared" si="129"/>
        <v xml:space="preserve">N745MB  </v>
      </c>
      <c r="BE1160">
        <v>1</v>
      </c>
      <c r="BG1160">
        <v>0</v>
      </c>
      <c r="BH1160">
        <v>0</v>
      </c>
      <c r="BI1160">
        <v>0</v>
      </c>
      <c r="BL1160" t="s">
        <v>130</v>
      </c>
      <c r="BM1160">
        <v>1</v>
      </c>
      <c r="BN1160">
        <v>0</v>
      </c>
      <c r="BO1160">
        <v>0</v>
      </c>
      <c r="BP1160">
        <v>0</v>
      </c>
      <c r="BT1160">
        <v>0</v>
      </c>
      <c r="BU1160">
        <v>0</v>
      </c>
      <c r="CE1160" t="str">
        <f>"20:27:54.991"</f>
        <v>20:27:54.991</v>
      </c>
      <c r="CF1160">
        <v>990528694</v>
      </c>
      <c r="CS1160">
        <v>0</v>
      </c>
      <c r="CT1160">
        <v>2</v>
      </c>
      <c r="CU1160">
        <v>0</v>
      </c>
      <c r="CV1160">
        <v>2</v>
      </c>
      <c r="CW1160">
        <v>0</v>
      </c>
      <c r="CX1160">
        <v>5</v>
      </c>
      <c r="CY1160">
        <v>7</v>
      </c>
      <c r="CZ1160" t="s">
        <v>131</v>
      </c>
      <c r="DA1160">
        <v>116</v>
      </c>
      <c r="DB1160">
        <v>0</v>
      </c>
      <c r="DC1160" t="s">
        <v>132</v>
      </c>
      <c r="DD1160" t="s">
        <v>133</v>
      </c>
      <c r="DG1160">
        <v>14767202</v>
      </c>
      <c r="DI1160">
        <v>0</v>
      </c>
      <c r="DJ1160">
        <v>1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1</v>
      </c>
      <c r="DQ1160">
        <v>0</v>
      </c>
      <c r="DR1160">
        <v>0</v>
      </c>
      <c r="DS1160">
        <v>1</v>
      </c>
    </row>
    <row r="1161" spans="1:123" x14ac:dyDescent="0.25">
      <c r="A1161" t="str">
        <f>"11/29/2023 20:27:56.915"</f>
        <v>11/29/2023 20:27:56.915</v>
      </c>
      <c r="C1161" t="str">
        <f t="shared" si="128"/>
        <v>FFDF53C0</v>
      </c>
      <c r="D1161" t="s">
        <v>135</v>
      </c>
      <c r="E1161">
        <v>31</v>
      </c>
      <c r="H1161">
        <v>285</v>
      </c>
      <c r="I1161" t="s">
        <v>136</v>
      </c>
      <c r="J1161" t="s">
        <v>137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>"20:27:56.539"</f>
        <v>20:27:56.539</v>
      </c>
      <c r="T1161" t="str">
        <f>"20:27:56.039"</f>
        <v>20:27:56.039</v>
      </c>
      <c r="U1161" t="str">
        <f t="shared" si="131"/>
        <v>AA0632</v>
      </c>
      <c r="V1161">
        <v>0</v>
      </c>
      <c r="W1161">
        <v>0</v>
      </c>
      <c r="X1161">
        <v>2</v>
      </c>
      <c r="Y1161">
        <v>0</v>
      </c>
      <c r="AA1161">
        <v>0</v>
      </c>
      <c r="AB1161">
        <v>9</v>
      </c>
      <c r="AC1161">
        <v>3</v>
      </c>
      <c r="AD1161">
        <v>0</v>
      </c>
      <c r="AE1161">
        <v>10</v>
      </c>
      <c r="AF1161" t="s">
        <v>126</v>
      </c>
      <c r="AG1161">
        <v>0</v>
      </c>
      <c r="AH1161">
        <v>0</v>
      </c>
      <c r="AI1161">
        <v>2</v>
      </c>
      <c r="AJ1161">
        <v>0</v>
      </c>
      <c r="AK1161" t="s">
        <v>673</v>
      </c>
      <c r="AL1161">
        <v>31.923158000000001</v>
      </c>
      <c r="AM1161" t="s">
        <v>674</v>
      </c>
      <c r="AN1161">
        <v>-100.96922600000001</v>
      </c>
      <c r="AQ1161" t="s">
        <v>129</v>
      </c>
      <c r="AR1161">
        <v>1</v>
      </c>
      <c r="AS1161">
        <v>4</v>
      </c>
      <c r="AT1161">
        <v>-192</v>
      </c>
      <c r="BB1161" t="str">
        <f t="shared" si="132"/>
        <v>1200</v>
      </c>
      <c r="BC1161">
        <v>1</v>
      </c>
      <c r="BD1161" t="str">
        <f t="shared" si="129"/>
        <v xml:space="preserve">N745MB  </v>
      </c>
      <c r="BE1161">
        <v>1</v>
      </c>
      <c r="BG1161">
        <v>0</v>
      </c>
      <c r="BH1161">
        <v>0</v>
      </c>
      <c r="BI1161">
        <v>0</v>
      </c>
      <c r="BL1161" t="s">
        <v>130</v>
      </c>
      <c r="BM1161">
        <v>1</v>
      </c>
      <c r="BN1161">
        <v>0</v>
      </c>
      <c r="BO1161">
        <v>0</v>
      </c>
      <c r="BP1161">
        <v>0</v>
      </c>
      <c r="BT1161">
        <v>0</v>
      </c>
      <c r="BU1161">
        <v>0</v>
      </c>
      <c r="CE1161" t="str">
        <f>"20:27:56.542"</f>
        <v>20:27:56.542</v>
      </c>
      <c r="CF1161">
        <v>542422489</v>
      </c>
      <c r="CS1161">
        <v>0</v>
      </c>
      <c r="CT1161">
        <v>2</v>
      </c>
      <c r="CU1161">
        <v>0</v>
      </c>
      <c r="CV1161">
        <v>2</v>
      </c>
      <c r="CW1161">
        <v>0</v>
      </c>
      <c r="CX1161">
        <v>5</v>
      </c>
      <c r="CY1161">
        <v>7</v>
      </c>
      <c r="CZ1161" t="s">
        <v>131</v>
      </c>
      <c r="DA1161">
        <v>116</v>
      </c>
      <c r="DB1161">
        <v>0</v>
      </c>
      <c r="DC1161" t="s">
        <v>132</v>
      </c>
      <c r="DD1161" t="s">
        <v>133</v>
      </c>
      <c r="DG1161">
        <v>14768408</v>
      </c>
      <c r="DI1161">
        <v>0</v>
      </c>
      <c r="DJ1161">
        <v>1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1</v>
      </c>
      <c r="DQ1161">
        <v>0</v>
      </c>
      <c r="DR1161">
        <v>0</v>
      </c>
      <c r="DS1161">
        <v>1</v>
      </c>
    </row>
    <row r="1162" spans="1:123" x14ac:dyDescent="0.25">
      <c r="A1162" t="str">
        <f>"11/29/2023 20:27:56.915"</f>
        <v>11/29/2023 20:27:56.915</v>
      </c>
      <c r="C1162" t="str">
        <f t="shared" si="128"/>
        <v>FFDF53C0</v>
      </c>
      <c r="D1162" t="s">
        <v>138</v>
      </c>
      <c r="E1162">
        <v>3</v>
      </c>
      <c r="H1162">
        <v>160</v>
      </c>
      <c r="I1162" t="s">
        <v>124</v>
      </c>
      <c r="J1162" t="s">
        <v>139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>"20:27:56.539"</f>
        <v>20:27:56.539</v>
      </c>
      <c r="T1162" t="str">
        <f>"20:27:56.039"</f>
        <v>20:27:56.039</v>
      </c>
      <c r="U1162" t="str">
        <f t="shared" si="131"/>
        <v>AA0632</v>
      </c>
      <c r="V1162">
        <v>0</v>
      </c>
      <c r="W1162">
        <v>0</v>
      </c>
      <c r="X1162">
        <v>2</v>
      </c>
      <c r="Y1162">
        <v>0</v>
      </c>
      <c r="AA1162">
        <v>0</v>
      </c>
      <c r="AB1162">
        <v>9</v>
      </c>
      <c r="AC1162">
        <v>3</v>
      </c>
      <c r="AD1162">
        <v>0</v>
      </c>
      <c r="AE1162">
        <v>10</v>
      </c>
      <c r="AF1162" t="s">
        <v>126</v>
      </c>
      <c r="AG1162">
        <v>0</v>
      </c>
      <c r="AH1162">
        <v>0</v>
      </c>
      <c r="AI1162">
        <v>2</v>
      </c>
      <c r="AJ1162">
        <v>0</v>
      </c>
      <c r="AK1162" t="s">
        <v>673</v>
      </c>
      <c r="AL1162">
        <v>31.923158000000001</v>
      </c>
      <c r="AM1162" t="s">
        <v>674</v>
      </c>
      <c r="AN1162">
        <v>-100.96922600000001</v>
      </c>
      <c r="AQ1162" t="s">
        <v>129</v>
      </c>
      <c r="AR1162">
        <v>1</v>
      </c>
      <c r="AS1162">
        <v>4</v>
      </c>
      <c r="AT1162">
        <v>-192</v>
      </c>
      <c r="BB1162" t="str">
        <f t="shared" si="132"/>
        <v>1200</v>
      </c>
      <c r="BC1162">
        <v>1</v>
      </c>
      <c r="BD1162" t="str">
        <f t="shared" si="129"/>
        <v xml:space="preserve">N745MB  </v>
      </c>
      <c r="BE1162">
        <v>1</v>
      </c>
      <c r="BG1162">
        <v>0</v>
      </c>
      <c r="BH1162">
        <v>0</v>
      </c>
      <c r="BI1162">
        <v>0</v>
      </c>
      <c r="BL1162" t="s">
        <v>130</v>
      </c>
      <c r="BM1162">
        <v>1</v>
      </c>
      <c r="BN1162">
        <v>0</v>
      </c>
      <c r="BO1162">
        <v>0</v>
      </c>
      <c r="BP1162">
        <v>0</v>
      </c>
      <c r="BT1162">
        <v>0</v>
      </c>
      <c r="BU1162">
        <v>0</v>
      </c>
      <c r="CE1162" t="str">
        <f>"20:27:56.542"</f>
        <v>20:27:56.542</v>
      </c>
      <c r="CF1162">
        <v>542422489</v>
      </c>
      <c r="CS1162">
        <v>0</v>
      </c>
      <c r="CT1162">
        <v>2</v>
      </c>
      <c r="CU1162">
        <v>0</v>
      </c>
      <c r="CV1162">
        <v>2</v>
      </c>
      <c r="CW1162">
        <v>0</v>
      </c>
      <c r="CX1162">
        <v>5</v>
      </c>
      <c r="CY1162">
        <v>7</v>
      </c>
      <c r="CZ1162" t="s">
        <v>131</v>
      </c>
      <c r="DA1162">
        <v>116</v>
      </c>
      <c r="DB1162">
        <v>0</v>
      </c>
      <c r="DC1162" t="s">
        <v>132</v>
      </c>
      <c r="DD1162" t="s">
        <v>133</v>
      </c>
      <c r="DG1162">
        <v>14768408</v>
      </c>
      <c r="DI1162">
        <v>0</v>
      </c>
      <c r="DJ1162">
        <v>1</v>
      </c>
      <c r="DK1162">
        <v>1</v>
      </c>
      <c r="DL1162">
        <v>0</v>
      </c>
      <c r="DM1162">
        <v>0</v>
      </c>
      <c r="DN1162">
        <v>0</v>
      </c>
      <c r="DO1162">
        <v>0</v>
      </c>
      <c r="DP1162">
        <v>1</v>
      </c>
      <c r="DQ1162">
        <v>0</v>
      </c>
      <c r="DR1162">
        <v>0</v>
      </c>
      <c r="DS1162">
        <v>1</v>
      </c>
    </row>
    <row r="1163" spans="1:123" x14ac:dyDescent="0.25">
      <c r="A1163" t="str">
        <f>"11/29/2023 20:27:56.931"</f>
        <v>11/29/2023 20:27:56.931</v>
      </c>
      <c r="C1163" t="str">
        <f t="shared" si="128"/>
        <v>FFDF53C0</v>
      </c>
      <c r="D1163" t="s">
        <v>123</v>
      </c>
      <c r="E1163">
        <v>14</v>
      </c>
      <c r="F1163">
        <v>1014</v>
      </c>
      <c r="G1163" t="s">
        <v>124</v>
      </c>
      <c r="J1163" t="s">
        <v>125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>"20:27:56.539"</f>
        <v>20:27:56.539</v>
      </c>
      <c r="T1163" t="str">
        <f>"20:27:56.039"</f>
        <v>20:27:56.039</v>
      </c>
      <c r="U1163" t="str">
        <f t="shared" si="131"/>
        <v>AA0632</v>
      </c>
      <c r="V1163">
        <v>0</v>
      </c>
      <c r="W1163">
        <v>0</v>
      </c>
      <c r="X1163">
        <v>2</v>
      </c>
      <c r="Y1163">
        <v>0</v>
      </c>
      <c r="AA1163">
        <v>0</v>
      </c>
      <c r="AB1163">
        <v>9</v>
      </c>
      <c r="AC1163">
        <v>3</v>
      </c>
      <c r="AD1163">
        <v>0</v>
      </c>
      <c r="AE1163">
        <v>10</v>
      </c>
      <c r="AF1163" t="s">
        <v>126</v>
      </c>
      <c r="AG1163">
        <v>0</v>
      </c>
      <c r="AH1163">
        <v>0</v>
      </c>
      <c r="AI1163">
        <v>2</v>
      </c>
      <c r="AJ1163">
        <v>0</v>
      </c>
      <c r="AK1163" t="s">
        <v>673</v>
      </c>
      <c r="AL1163">
        <v>31.923158000000001</v>
      </c>
      <c r="AM1163" t="s">
        <v>674</v>
      </c>
      <c r="AN1163">
        <v>-100.96922600000001</v>
      </c>
      <c r="AQ1163" t="s">
        <v>129</v>
      </c>
      <c r="AR1163">
        <v>1</v>
      </c>
      <c r="AS1163">
        <v>4</v>
      </c>
      <c r="AT1163">
        <v>-192</v>
      </c>
      <c r="BB1163" t="str">
        <f t="shared" si="132"/>
        <v>1200</v>
      </c>
      <c r="BC1163">
        <v>1</v>
      </c>
      <c r="BD1163" t="str">
        <f t="shared" si="129"/>
        <v xml:space="preserve">N745MB  </v>
      </c>
      <c r="BE1163">
        <v>1</v>
      </c>
      <c r="BG1163">
        <v>0</v>
      </c>
      <c r="BH1163">
        <v>0</v>
      </c>
      <c r="BI1163">
        <v>0</v>
      </c>
      <c r="BL1163" t="s">
        <v>130</v>
      </c>
      <c r="BM1163">
        <v>1</v>
      </c>
      <c r="BN1163">
        <v>0</v>
      </c>
      <c r="BO1163">
        <v>0</v>
      </c>
      <c r="BP1163">
        <v>0</v>
      </c>
      <c r="BT1163">
        <v>0</v>
      </c>
      <c r="BU1163">
        <v>0</v>
      </c>
      <c r="CE1163" t="str">
        <f>"20:27:56.542"</f>
        <v>20:27:56.542</v>
      </c>
      <c r="CF1163">
        <v>542422489</v>
      </c>
      <c r="CS1163">
        <v>0</v>
      </c>
      <c r="CT1163">
        <v>2</v>
      </c>
      <c r="CU1163">
        <v>0</v>
      </c>
      <c r="CV1163">
        <v>2</v>
      </c>
      <c r="CW1163">
        <v>0</v>
      </c>
      <c r="CX1163">
        <v>5</v>
      </c>
      <c r="CY1163">
        <v>7</v>
      </c>
      <c r="CZ1163" t="s">
        <v>131</v>
      </c>
      <c r="DA1163">
        <v>116</v>
      </c>
      <c r="DB1163">
        <v>0</v>
      </c>
      <c r="DC1163" t="s">
        <v>132</v>
      </c>
      <c r="DD1163" t="s">
        <v>133</v>
      </c>
      <c r="DG1163">
        <v>14768408</v>
      </c>
      <c r="DI1163">
        <v>0</v>
      </c>
      <c r="DJ1163">
        <v>1</v>
      </c>
      <c r="DK1163">
        <v>1</v>
      </c>
      <c r="DL1163">
        <v>0</v>
      </c>
      <c r="DM1163">
        <v>0</v>
      </c>
      <c r="DN1163">
        <v>0</v>
      </c>
      <c r="DO1163">
        <v>0</v>
      </c>
      <c r="DP1163">
        <v>1</v>
      </c>
      <c r="DQ1163">
        <v>0</v>
      </c>
      <c r="DR1163">
        <v>0</v>
      </c>
      <c r="DS1163">
        <v>1</v>
      </c>
    </row>
    <row r="1164" spans="1:123" x14ac:dyDescent="0.25">
      <c r="A1164" t="str">
        <f>"11/29/2023 20:27:56.931"</f>
        <v>11/29/2023 20:27:56.931</v>
      </c>
      <c r="C1164" t="str">
        <f t="shared" si="128"/>
        <v>FFDF53C0</v>
      </c>
      <c r="D1164" t="s">
        <v>123</v>
      </c>
      <c r="E1164">
        <v>1</v>
      </c>
      <c r="F1164">
        <v>1001</v>
      </c>
      <c r="G1164" t="s">
        <v>134</v>
      </c>
      <c r="J1164" t="s">
        <v>125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>"20:27:56.539"</f>
        <v>20:27:56.539</v>
      </c>
      <c r="T1164" t="str">
        <f>"20:27:56.039"</f>
        <v>20:27:56.039</v>
      </c>
      <c r="U1164" t="str">
        <f t="shared" si="131"/>
        <v>AA0632</v>
      </c>
      <c r="V1164">
        <v>0</v>
      </c>
      <c r="W1164">
        <v>0</v>
      </c>
      <c r="X1164">
        <v>2</v>
      </c>
      <c r="Y1164">
        <v>0</v>
      </c>
      <c r="AA1164">
        <v>0</v>
      </c>
      <c r="AB1164">
        <v>9</v>
      </c>
      <c r="AC1164">
        <v>3</v>
      </c>
      <c r="AD1164">
        <v>0</v>
      </c>
      <c r="AE1164">
        <v>10</v>
      </c>
      <c r="AF1164" t="s">
        <v>126</v>
      </c>
      <c r="AG1164">
        <v>0</v>
      </c>
      <c r="AH1164">
        <v>0</v>
      </c>
      <c r="AI1164">
        <v>2</v>
      </c>
      <c r="AJ1164">
        <v>0</v>
      </c>
      <c r="AK1164" t="s">
        <v>673</v>
      </c>
      <c r="AL1164">
        <v>31.923158000000001</v>
      </c>
      <c r="AM1164" t="s">
        <v>674</v>
      </c>
      <c r="AN1164">
        <v>-100.96922600000001</v>
      </c>
      <c r="AQ1164" t="s">
        <v>129</v>
      </c>
      <c r="AR1164">
        <v>1</v>
      </c>
      <c r="AS1164">
        <v>4</v>
      </c>
      <c r="AT1164">
        <v>-192</v>
      </c>
      <c r="BB1164" t="str">
        <f t="shared" si="132"/>
        <v>1200</v>
      </c>
      <c r="BC1164">
        <v>1</v>
      </c>
      <c r="BD1164" t="str">
        <f t="shared" si="129"/>
        <v xml:space="preserve">N745MB  </v>
      </c>
      <c r="BE1164">
        <v>1</v>
      </c>
      <c r="BG1164">
        <v>0</v>
      </c>
      <c r="BH1164">
        <v>0</v>
      </c>
      <c r="BI1164">
        <v>0</v>
      </c>
      <c r="BL1164" t="s">
        <v>130</v>
      </c>
      <c r="BM1164">
        <v>1</v>
      </c>
      <c r="BN1164">
        <v>0</v>
      </c>
      <c r="BO1164">
        <v>0</v>
      </c>
      <c r="BP1164">
        <v>0</v>
      </c>
      <c r="BT1164">
        <v>0</v>
      </c>
      <c r="BU1164">
        <v>0</v>
      </c>
      <c r="CE1164" t="str">
        <f>"20:27:56.542"</f>
        <v>20:27:56.542</v>
      </c>
      <c r="CF1164">
        <v>542422489</v>
      </c>
      <c r="CS1164">
        <v>0</v>
      </c>
      <c r="CT1164">
        <v>2</v>
      </c>
      <c r="CU1164">
        <v>0</v>
      </c>
      <c r="CV1164">
        <v>2</v>
      </c>
      <c r="CW1164">
        <v>0</v>
      </c>
      <c r="CX1164">
        <v>5</v>
      </c>
      <c r="CY1164">
        <v>7</v>
      </c>
      <c r="CZ1164" t="s">
        <v>131</v>
      </c>
      <c r="DA1164">
        <v>116</v>
      </c>
      <c r="DB1164">
        <v>0</v>
      </c>
      <c r="DC1164" t="s">
        <v>132</v>
      </c>
      <c r="DD1164" t="s">
        <v>133</v>
      </c>
      <c r="DG1164">
        <v>14768408</v>
      </c>
      <c r="DI1164">
        <v>0</v>
      </c>
      <c r="DJ1164">
        <v>1</v>
      </c>
      <c r="DK1164">
        <v>1</v>
      </c>
      <c r="DL1164">
        <v>0</v>
      </c>
      <c r="DM1164">
        <v>0</v>
      </c>
      <c r="DN1164">
        <v>0</v>
      </c>
      <c r="DO1164">
        <v>0</v>
      </c>
      <c r="DP1164">
        <v>1</v>
      </c>
      <c r="DQ1164">
        <v>0</v>
      </c>
      <c r="DR1164">
        <v>0</v>
      </c>
      <c r="DS1164">
        <v>1</v>
      </c>
    </row>
    <row r="1165" spans="1:123" x14ac:dyDescent="0.25">
      <c r="A1165" t="str">
        <f>"11/29/2023 20:27:58.415"</f>
        <v>11/29/2023 20:27:58.415</v>
      </c>
      <c r="C1165" t="str">
        <f t="shared" si="128"/>
        <v>FFDF53C0</v>
      </c>
      <c r="D1165" t="s">
        <v>123</v>
      </c>
      <c r="E1165">
        <v>14</v>
      </c>
      <c r="F1165">
        <v>1014</v>
      </c>
      <c r="G1165" t="s">
        <v>124</v>
      </c>
      <c r="J1165" t="s">
        <v>125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 t="shared" ref="S1165:T1168" si="133">"20:27:58.086"</f>
        <v>20:27:58.086</v>
      </c>
      <c r="T1165" t="str">
        <f t="shared" si="133"/>
        <v>20:27:58.086</v>
      </c>
      <c r="U1165" t="str">
        <f t="shared" si="131"/>
        <v>AA0632</v>
      </c>
      <c r="V1165">
        <v>0</v>
      </c>
      <c r="W1165">
        <v>0</v>
      </c>
      <c r="X1165">
        <v>2</v>
      </c>
      <c r="Y1165">
        <v>0</v>
      </c>
      <c r="AA1165">
        <v>0</v>
      </c>
      <c r="AB1165">
        <v>9</v>
      </c>
      <c r="AC1165">
        <v>3</v>
      </c>
      <c r="AD1165">
        <v>0</v>
      </c>
      <c r="AE1165">
        <v>10</v>
      </c>
      <c r="AF1165" t="s">
        <v>126</v>
      </c>
      <c r="AG1165">
        <v>0</v>
      </c>
      <c r="AH1165">
        <v>0</v>
      </c>
      <c r="AI1165">
        <v>2</v>
      </c>
      <c r="AJ1165">
        <v>0</v>
      </c>
      <c r="AK1165" t="s">
        <v>675</v>
      </c>
      <c r="AL1165">
        <v>31.923200999999999</v>
      </c>
      <c r="AM1165" t="s">
        <v>674</v>
      </c>
      <c r="AN1165">
        <v>-100.96922600000001</v>
      </c>
      <c r="AQ1165" t="s">
        <v>129</v>
      </c>
      <c r="AR1165">
        <v>0</v>
      </c>
      <c r="AS1165">
        <v>4</v>
      </c>
      <c r="AT1165">
        <v>-192</v>
      </c>
      <c r="BB1165" t="str">
        <f t="shared" si="132"/>
        <v>1200</v>
      </c>
      <c r="BC1165">
        <v>1</v>
      </c>
      <c r="BD1165" t="str">
        <f t="shared" si="129"/>
        <v xml:space="preserve">N745MB  </v>
      </c>
      <c r="BE1165">
        <v>1</v>
      </c>
      <c r="BG1165">
        <v>0</v>
      </c>
      <c r="BH1165">
        <v>0</v>
      </c>
      <c r="BI1165">
        <v>0</v>
      </c>
      <c r="BL1165" t="s">
        <v>130</v>
      </c>
      <c r="BM1165">
        <v>1</v>
      </c>
      <c r="BN1165">
        <v>0</v>
      </c>
      <c r="BO1165">
        <v>0</v>
      </c>
      <c r="BP1165">
        <v>0</v>
      </c>
      <c r="BT1165">
        <v>0</v>
      </c>
      <c r="BU1165">
        <v>0</v>
      </c>
      <c r="CE1165" t="str">
        <f>"20:27:58.092"</f>
        <v>20:27:58.092</v>
      </c>
      <c r="CF1165">
        <v>92318226</v>
      </c>
      <c r="CS1165">
        <v>0</v>
      </c>
      <c r="CT1165">
        <v>2</v>
      </c>
      <c r="CU1165">
        <v>0</v>
      </c>
      <c r="CV1165">
        <v>2</v>
      </c>
      <c r="CW1165">
        <v>0</v>
      </c>
      <c r="CX1165">
        <v>5</v>
      </c>
      <c r="CY1165">
        <v>7</v>
      </c>
      <c r="CZ1165" t="s">
        <v>131</v>
      </c>
      <c r="DA1165">
        <v>116</v>
      </c>
      <c r="DB1165">
        <v>0</v>
      </c>
      <c r="DC1165" t="s">
        <v>132</v>
      </c>
      <c r="DD1165" t="s">
        <v>133</v>
      </c>
      <c r="DG1165">
        <v>14769714</v>
      </c>
      <c r="DI1165">
        <v>0</v>
      </c>
      <c r="DJ1165">
        <v>1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1</v>
      </c>
      <c r="DQ1165">
        <v>0</v>
      </c>
      <c r="DR1165">
        <v>0</v>
      </c>
      <c r="DS1165">
        <v>1</v>
      </c>
    </row>
    <row r="1166" spans="1:123" x14ac:dyDescent="0.25">
      <c r="A1166" t="str">
        <f>"11/29/2023 20:27:58.462"</f>
        <v>11/29/2023 20:27:58.462</v>
      </c>
      <c r="C1166" t="str">
        <f t="shared" si="128"/>
        <v>FFDF53C0</v>
      </c>
      <c r="D1166" t="s">
        <v>123</v>
      </c>
      <c r="E1166">
        <v>1</v>
      </c>
      <c r="F1166">
        <v>1001</v>
      </c>
      <c r="G1166" t="s">
        <v>134</v>
      </c>
      <c r="J1166" t="s">
        <v>125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 t="shared" si="133"/>
        <v>20:27:58.086</v>
      </c>
      <c r="T1166" t="str">
        <f t="shared" si="133"/>
        <v>20:27:58.086</v>
      </c>
      <c r="U1166" t="str">
        <f t="shared" si="131"/>
        <v>AA0632</v>
      </c>
      <c r="V1166">
        <v>0</v>
      </c>
      <c r="W1166">
        <v>0</v>
      </c>
      <c r="X1166">
        <v>2</v>
      </c>
      <c r="Y1166">
        <v>0</v>
      </c>
      <c r="AA1166">
        <v>0</v>
      </c>
      <c r="AB1166">
        <v>9</v>
      </c>
      <c r="AC1166">
        <v>3</v>
      </c>
      <c r="AD1166">
        <v>0</v>
      </c>
      <c r="AE1166">
        <v>10</v>
      </c>
      <c r="AF1166" t="s">
        <v>126</v>
      </c>
      <c r="AG1166">
        <v>0</v>
      </c>
      <c r="AH1166">
        <v>0</v>
      </c>
      <c r="AI1166">
        <v>2</v>
      </c>
      <c r="AJ1166">
        <v>0</v>
      </c>
      <c r="AK1166" t="s">
        <v>675</v>
      </c>
      <c r="AL1166">
        <v>31.923200999999999</v>
      </c>
      <c r="AM1166" t="s">
        <v>674</v>
      </c>
      <c r="AN1166">
        <v>-100.96922600000001</v>
      </c>
      <c r="AQ1166" t="s">
        <v>129</v>
      </c>
      <c r="AR1166">
        <v>0</v>
      </c>
      <c r="AS1166">
        <v>4</v>
      </c>
      <c r="AT1166">
        <v>-192</v>
      </c>
      <c r="BB1166" t="str">
        <f t="shared" si="132"/>
        <v>1200</v>
      </c>
      <c r="BC1166">
        <v>1</v>
      </c>
      <c r="BD1166" t="str">
        <f t="shared" si="129"/>
        <v xml:space="preserve">N745MB  </v>
      </c>
      <c r="BE1166">
        <v>1</v>
      </c>
      <c r="BG1166">
        <v>0</v>
      </c>
      <c r="BH1166">
        <v>0</v>
      </c>
      <c r="BI1166">
        <v>0</v>
      </c>
      <c r="BL1166" t="s">
        <v>130</v>
      </c>
      <c r="BM1166">
        <v>1</v>
      </c>
      <c r="BN1166">
        <v>0</v>
      </c>
      <c r="BO1166">
        <v>0</v>
      </c>
      <c r="BP1166">
        <v>0</v>
      </c>
      <c r="BT1166">
        <v>0</v>
      </c>
      <c r="BU1166">
        <v>0</v>
      </c>
      <c r="CE1166" t="str">
        <f>"20:27:58.092"</f>
        <v>20:27:58.092</v>
      </c>
      <c r="CF1166">
        <v>92318226</v>
      </c>
      <c r="CS1166">
        <v>0</v>
      </c>
      <c r="CT1166">
        <v>2</v>
      </c>
      <c r="CU1166">
        <v>0</v>
      </c>
      <c r="CV1166">
        <v>2</v>
      </c>
      <c r="CW1166">
        <v>0</v>
      </c>
      <c r="CX1166">
        <v>5</v>
      </c>
      <c r="CY1166">
        <v>7</v>
      </c>
      <c r="CZ1166" t="s">
        <v>131</v>
      </c>
      <c r="DA1166">
        <v>116</v>
      </c>
      <c r="DB1166">
        <v>0</v>
      </c>
      <c r="DC1166" t="s">
        <v>132</v>
      </c>
      <c r="DD1166" t="s">
        <v>133</v>
      </c>
      <c r="DG1166">
        <v>14769714</v>
      </c>
      <c r="DI1166">
        <v>0</v>
      </c>
      <c r="DJ1166">
        <v>1</v>
      </c>
      <c r="DK1166">
        <v>1</v>
      </c>
      <c r="DL1166">
        <v>0</v>
      </c>
      <c r="DM1166">
        <v>0</v>
      </c>
      <c r="DN1166">
        <v>0</v>
      </c>
      <c r="DO1166">
        <v>0</v>
      </c>
      <c r="DP1166">
        <v>1</v>
      </c>
      <c r="DQ1166">
        <v>0</v>
      </c>
      <c r="DR1166">
        <v>0</v>
      </c>
      <c r="DS1166">
        <v>1</v>
      </c>
    </row>
    <row r="1167" spans="1:123" x14ac:dyDescent="0.25">
      <c r="A1167" t="str">
        <f>"11/29/2023 20:27:58.493"</f>
        <v>11/29/2023 20:27:58.493</v>
      </c>
      <c r="C1167" t="str">
        <f t="shared" si="128"/>
        <v>FFDF53C0</v>
      </c>
      <c r="D1167" t="s">
        <v>135</v>
      </c>
      <c r="E1167">
        <v>31</v>
      </c>
      <c r="H1167">
        <v>285</v>
      </c>
      <c r="I1167" t="s">
        <v>136</v>
      </c>
      <c r="J1167" t="s">
        <v>137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 t="shared" si="133"/>
        <v>20:27:58.086</v>
      </c>
      <c r="T1167" t="str">
        <f t="shared" si="133"/>
        <v>20:27:58.086</v>
      </c>
      <c r="U1167" t="str">
        <f t="shared" si="131"/>
        <v>AA0632</v>
      </c>
      <c r="V1167">
        <v>0</v>
      </c>
      <c r="W1167">
        <v>0</v>
      </c>
      <c r="X1167">
        <v>2</v>
      </c>
      <c r="Y1167">
        <v>0</v>
      </c>
      <c r="AA1167">
        <v>0</v>
      </c>
      <c r="AB1167">
        <v>9</v>
      </c>
      <c r="AC1167">
        <v>3</v>
      </c>
      <c r="AD1167">
        <v>0</v>
      </c>
      <c r="AE1167">
        <v>10</v>
      </c>
      <c r="AF1167" t="s">
        <v>126</v>
      </c>
      <c r="AG1167">
        <v>0</v>
      </c>
      <c r="AH1167">
        <v>0</v>
      </c>
      <c r="AI1167">
        <v>2</v>
      </c>
      <c r="AJ1167">
        <v>0</v>
      </c>
      <c r="AK1167" t="s">
        <v>675</v>
      </c>
      <c r="AL1167">
        <v>31.923200999999999</v>
      </c>
      <c r="AM1167" t="s">
        <v>674</v>
      </c>
      <c r="AN1167">
        <v>-100.96922600000001</v>
      </c>
      <c r="AQ1167" t="s">
        <v>129</v>
      </c>
      <c r="AR1167">
        <v>0</v>
      </c>
      <c r="AS1167">
        <v>4</v>
      </c>
      <c r="AT1167">
        <v>-192</v>
      </c>
      <c r="BB1167" t="str">
        <f t="shared" si="132"/>
        <v>1200</v>
      </c>
      <c r="BC1167">
        <v>1</v>
      </c>
      <c r="BD1167" t="str">
        <f t="shared" si="129"/>
        <v xml:space="preserve">N745MB  </v>
      </c>
      <c r="BE1167">
        <v>1</v>
      </c>
      <c r="BG1167">
        <v>0</v>
      </c>
      <c r="BH1167">
        <v>0</v>
      </c>
      <c r="BI1167">
        <v>0</v>
      </c>
      <c r="BL1167" t="s">
        <v>130</v>
      </c>
      <c r="BM1167">
        <v>1</v>
      </c>
      <c r="BN1167">
        <v>0</v>
      </c>
      <c r="BO1167">
        <v>0</v>
      </c>
      <c r="BP1167">
        <v>0</v>
      </c>
      <c r="BT1167">
        <v>0</v>
      </c>
      <c r="BU1167">
        <v>0</v>
      </c>
      <c r="CE1167" t="str">
        <f>"20:27:58.092"</f>
        <v>20:27:58.092</v>
      </c>
      <c r="CF1167">
        <v>92318226</v>
      </c>
      <c r="CS1167">
        <v>0</v>
      </c>
      <c r="CT1167">
        <v>2</v>
      </c>
      <c r="CU1167">
        <v>0</v>
      </c>
      <c r="CV1167">
        <v>2</v>
      </c>
      <c r="CW1167">
        <v>0</v>
      </c>
      <c r="CX1167">
        <v>5</v>
      </c>
      <c r="CY1167">
        <v>7</v>
      </c>
      <c r="CZ1167" t="s">
        <v>131</v>
      </c>
      <c r="DA1167">
        <v>116</v>
      </c>
      <c r="DB1167">
        <v>0</v>
      </c>
      <c r="DC1167" t="s">
        <v>132</v>
      </c>
      <c r="DD1167" t="s">
        <v>133</v>
      </c>
      <c r="DG1167">
        <v>14769714</v>
      </c>
      <c r="DI1167">
        <v>0</v>
      </c>
      <c r="DJ1167">
        <v>1</v>
      </c>
      <c r="DK1167">
        <v>1</v>
      </c>
      <c r="DL1167">
        <v>0</v>
      </c>
      <c r="DM1167">
        <v>0</v>
      </c>
      <c r="DN1167">
        <v>0</v>
      </c>
      <c r="DO1167">
        <v>0</v>
      </c>
      <c r="DP1167">
        <v>1</v>
      </c>
      <c r="DQ1167">
        <v>0</v>
      </c>
      <c r="DR1167">
        <v>0</v>
      </c>
      <c r="DS1167">
        <v>1</v>
      </c>
    </row>
    <row r="1168" spans="1:123" x14ac:dyDescent="0.25">
      <c r="A1168" t="str">
        <f>"11/29/2023 20:27:58.493"</f>
        <v>11/29/2023 20:27:58.493</v>
      </c>
      <c r="C1168" t="str">
        <f t="shared" ref="C1168:C1231" si="134">"FFDF53C0"</f>
        <v>FFDF53C0</v>
      </c>
      <c r="D1168" t="s">
        <v>138</v>
      </c>
      <c r="E1168">
        <v>3</v>
      </c>
      <c r="H1168">
        <v>160</v>
      </c>
      <c r="I1168" t="s">
        <v>124</v>
      </c>
      <c r="J1168" t="s">
        <v>139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 t="shared" si="133"/>
        <v>20:27:58.086</v>
      </c>
      <c r="T1168" t="str">
        <f t="shared" si="133"/>
        <v>20:27:58.086</v>
      </c>
      <c r="U1168" t="str">
        <f t="shared" si="131"/>
        <v>AA0632</v>
      </c>
      <c r="V1168">
        <v>0</v>
      </c>
      <c r="W1168">
        <v>0</v>
      </c>
      <c r="X1168">
        <v>2</v>
      </c>
      <c r="Y1168">
        <v>0</v>
      </c>
      <c r="AA1168">
        <v>0</v>
      </c>
      <c r="AB1168">
        <v>9</v>
      </c>
      <c r="AC1168">
        <v>3</v>
      </c>
      <c r="AD1168">
        <v>0</v>
      </c>
      <c r="AE1168">
        <v>10</v>
      </c>
      <c r="AF1168" t="s">
        <v>126</v>
      </c>
      <c r="AG1168">
        <v>0</v>
      </c>
      <c r="AH1168">
        <v>0</v>
      </c>
      <c r="AI1168">
        <v>2</v>
      </c>
      <c r="AJ1168">
        <v>0</v>
      </c>
      <c r="AK1168" t="s">
        <v>675</v>
      </c>
      <c r="AL1168">
        <v>31.923200999999999</v>
      </c>
      <c r="AM1168" t="s">
        <v>674</v>
      </c>
      <c r="AN1168">
        <v>-100.96922600000001</v>
      </c>
      <c r="AQ1168" t="s">
        <v>129</v>
      </c>
      <c r="AR1168">
        <v>0</v>
      </c>
      <c r="AS1168">
        <v>4</v>
      </c>
      <c r="AT1168">
        <v>-192</v>
      </c>
      <c r="BB1168" t="str">
        <f t="shared" si="132"/>
        <v>1200</v>
      </c>
      <c r="BC1168">
        <v>1</v>
      </c>
      <c r="BD1168" t="str">
        <f t="shared" ref="BD1168:BD1231" si="135">"N745MB  "</f>
        <v xml:space="preserve">N745MB  </v>
      </c>
      <c r="BE1168">
        <v>1</v>
      </c>
      <c r="BG1168">
        <v>0</v>
      </c>
      <c r="BH1168">
        <v>0</v>
      </c>
      <c r="BI1168">
        <v>0</v>
      </c>
      <c r="BL1168" t="s">
        <v>130</v>
      </c>
      <c r="BM1168">
        <v>1</v>
      </c>
      <c r="BN1168">
        <v>0</v>
      </c>
      <c r="BO1168">
        <v>0</v>
      </c>
      <c r="BP1168">
        <v>0</v>
      </c>
      <c r="BT1168">
        <v>0</v>
      </c>
      <c r="BU1168">
        <v>0</v>
      </c>
      <c r="CE1168" t="str">
        <f>"20:27:58.092"</f>
        <v>20:27:58.092</v>
      </c>
      <c r="CF1168">
        <v>92318226</v>
      </c>
      <c r="CS1168">
        <v>0</v>
      </c>
      <c r="CT1168">
        <v>2</v>
      </c>
      <c r="CU1168">
        <v>0</v>
      </c>
      <c r="CV1168">
        <v>2</v>
      </c>
      <c r="CW1168">
        <v>0</v>
      </c>
      <c r="CX1168">
        <v>5</v>
      </c>
      <c r="CY1168">
        <v>7</v>
      </c>
      <c r="CZ1168" t="s">
        <v>131</v>
      </c>
      <c r="DA1168">
        <v>116</v>
      </c>
      <c r="DB1168">
        <v>0</v>
      </c>
      <c r="DC1168" t="s">
        <v>132</v>
      </c>
      <c r="DD1168" t="s">
        <v>133</v>
      </c>
      <c r="DG1168">
        <v>14769714</v>
      </c>
      <c r="DI1168">
        <v>0</v>
      </c>
      <c r="DJ1168">
        <v>1</v>
      </c>
      <c r="DK1168">
        <v>1</v>
      </c>
      <c r="DL1168">
        <v>0</v>
      </c>
      <c r="DM1168">
        <v>0</v>
      </c>
      <c r="DN1168">
        <v>0</v>
      </c>
      <c r="DO1168">
        <v>0</v>
      </c>
      <c r="DP1168">
        <v>1</v>
      </c>
      <c r="DQ1168">
        <v>0</v>
      </c>
      <c r="DR1168">
        <v>0</v>
      </c>
      <c r="DS1168">
        <v>1</v>
      </c>
    </row>
    <row r="1169" spans="1:123" x14ac:dyDescent="0.25">
      <c r="A1169" t="str">
        <f>"11/29/2023 20:27:59.868"</f>
        <v>11/29/2023 20:27:59.868</v>
      </c>
      <c r="C1169" t="str">
        <f t="shared" si="134"/>
        <v>FFDF53C0</v>
      </c>
      <c r="D1169" t="s">
        <v>135</v>
      </c>
      <c r="E1169">
        <v>31</v>
      </c>
      <c r="H1169">
        <v>285</v>
      </c>
      <c r="I1169" t="s">
        <v>136</v>
      </c>
      <c r="J1169" t="s">
        <v>137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>"20:27:59.531"</f>
        <v>20:27:59.531</v>
      </c>
      <c r="T1169" t="str">
        <f>"20:27:59.031"</f>
        <v>20:27:59.031</v>
      </c>
      <c r="U1169" t="str">
        <f t="shared" si="131"/>
        <v>AA0632</v>
      </c>
      <c r="V1169">
        <v>0</v>
      </c>
      <c r="W1169">
        <v>0</v>
      </c>
      <c r="X1169">
        <v>2</v>
      </c>
      <c r="Y1169">
        <v>0</v>
      </c>
      <c r="AA1169">
        <v>0</v>
      </c>
      <c r="AB1169">
        <v>9</v>
      </c>
      <c r="AC1169">
        <v>3</v>
      </c>
      <c r="AD1169">
        <v>0</v>
      </c>
      <c r="AE1169">
        <v>10</v>
      </c>
      <c r="AF1169" t="s">
        <v>126</v>
      </c>
      <c r="AG1169">
        <v>0</v>
      </c>
      <c r="AH1169">
        <v>0</v>
      </c>
      <c r="AI1169">
        <v>2</v>
      </c>
      <c r="AJ1169">
        <v>0</v>
      </c>
      <c r="AK1169" t="s">
        <v>675</v>
      </c>
      <c r="AL1169">
        <v>31.923200999999999</v>
      </c>
      <c r="AM1169" t="s">
        <v>674</v>
      </c>
      <c r="AN1169">
        <v>-100.96922600000001</v>
      </c>
      <c r="AQ1169" t="s">
        <v>129</v>
      </c>
      <c r="AR1169">
        <v>0</v>
      </c>
      <c r="AS1169">
        <v>3</v>
      </c>
      <c r="AT1169">
        <v>-256</v>
      </c>
      <c r="BB1169" t="str">
        <f t="shared" si="132"/>
        <v>1200</v>
      </c>
      <c r="BC1169">
        <v>1</v>
      </c>
      <c r="BD1169" t="str">
        <f t="shared" si="135"/>
        <v xml:space="preserve">N745MB  </v>
      </c>
      <c r="BE1169">
        <v>1</v>
      </c>
      <c r="BG1169">
        <v>0</v>
      </c>
      <c r="BH1169">
        <v>0</v>
      </c>
      <c r="BI1169">
        <v>0</v>
      </c>
      <c r="BL1169" t="s">
        <v>130</v>
      </c>
      <c r="BM1169">
        <v>1</v>
      </c>
      <c r="BN1169">
        <v>0</v>
      </c>
      <c r="BO1169">
        <v>0</v>
      </c>
      <c r="BP1169">
        <v>0</v>
      </c>
      <c r="BT1169">
        <v>0</v>
      </c>
      <c r="BU1169">
        <v>0</v>
      </c>
      <c r="CE1169" t="str">
        <f>"20:27:59.534"</f>
        <v>20:27:59.534</v>
      </c>
      <c r="CF1169">
        <v>534223899</v>
      </c>
      <c r="CS1169">
        <v>0</v>
      </c>
      <c r="CT1169">
        <v>2</v>
      </c>
      <c r="CU1169">
        <v>0</v>
      </c>
      <c r="CV1169">
        <v>2</v>
      </c>
      <c r="CW1169">
        <v>0</v>
      </c>
      <c r="CX1169">
        <v>3</v>
      </c>
      <c r="CY1169">
        <v>7</v>
      </c>
      <c r="CZ1169" t="s">
        <v>131</v>
      </c>
      <c r="DA1169">
        <v>116</v>
      </c>
      <c r="DB1169">
        <v>3</v>
      </c>
      <c r="DC1169" t="s">
        <v>132</v>
      </c>
      <c r="DD1169" t="s">
        <v>133</v>
      </c>
      <c r="DG1169">
        <v>8476661</v>
      </c>
      <c r="DI1169">
        <v>0</v>
      </c>
      <c r="DJ1169">
        <v>1</v>
      </c>
      <c r="DK1169">
        <v>0</v>
      </c>
      <c r="DL1169">
        <v>0</v>
      </c>
      <c r="DM1169">
        <v>0</v>
      </c>
      <c r="DN1169">
        <v>0</v>
      </c>
      <c r="DO1169">
        <v>0</v>
      </c>
      <c r="DP1169">
        <v>1</v>
      </c>
      <c r="DQ1169">
        <v>0</v>
      </c>
      <c r="DR1169">
        <v>0</v>
      </c>
      <c r="DS1169">
        <v>1</v>
      </c>
    </row>
    <row r="1170" spans="1:123" x14ac:dyDescent="0.25">
      <c r="A1170" t="str">
        <f>"11/29/2023 20:27:59.868"</f>
        <v>11/29/2023 20:27:59.868</v>
      </c>
      <c r="C1170" t="str">
        <f t="shared" si="134"/>
        <v>FFDF53C0</v>
      </c>
      <c r="D1170" t="s">
        <v>138</v>
      </c>
      <c r="E1170">
        <v>3</v>
      </c>
      <c r="H1170">
        <v>160</v>
      </c>
      <c r="I1170" t="s">
        <v>124</v>
      </c>
      <c r="J1170" t="s">
        <v>139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>"20:27:59.531"</f>
        <v>20:27:59.531</v>
      </c>
      <c r="T1170" t="str">
        <f>"20:27:59.031"</f>
        <v>20:27:59.031</v>
      </c>
      <c r="U1170" t="str">
        <f t="shared" si="131"/>
        <v>AA0632</v>
      </c>
      <c r="V1170">
        <v>0</v>
      </c>
      <c r="W1170">
        <v>0</v>
      </c>
      <c r="X1170">
        <v>2</v>
      </c>
      <c r="Y1170">
        <v>0</v>
      </c>
      <c r="AA1170">
        <v>0</v>
      </c>
      <c r="AB1170">
        <v>9</v>
      </c>
      <c r="AC1170">
        <v>3</v>
      </c>
      <c r="AD1170">
        <v>0</v>
      </c>
      <c r="AE1170">
        <v>10</v>
      </c>
      <c r="AF1170" t="s">
        <v>126</v>
      </c>
      <c r="AG1170">
        <v>0</v>
      </c>
      <c r="AH1170">
        <v>0</v>
      </c>
      <c r="AI1170">
        <v>2</v>
      </c>
      <c r="AJ1170">
        <v>0</v>
      </c>
      <c r="AK1170" t="s">
        <v>675</v>
      </c>
      <c r="AL1170">
        <v>31.923200999999999</v>
      </c>
      <c r="AM1170" t="s">
        <v>674</v>
      </c>
      <c r="AN1170">
        <v>-100.96922600000001</v>
      </c>
      <c r="AQ1170" t="s">
        <v>129</v>
      </c>
      <c r="AR1170">
        <v>0</v>
      </c>
      <c r="AS1170">
        <v>3</v>
      </c>
      <c r="AT1170">
        <v>-256</v>
      </c>
      <c r="BB1170" t="str">
        <f t="shared" si="132"/>
        <v>1200</v>
      </c>
      <c r="BC1170">
        <v>1</v>
      </c>
      <c r="BD1170" t="str">
        <f t="shared" si="135"/>
        <v xml:space="preserve">N745MB  </v>
      </c>
      <c r="BE1170">
        <v>1</v>
      </c>
      <c r="BG1170">
        <v>0</v>
      </c>
      <c r="BH1170">
        <v>0</v>
      </c>
      <c r="BI1170">
        <v>0</v>
      </c>
      <c r="BL1170" t="s">
        <v>130</v>
      </c>
      <c r="BM1170">
        <v>1</v>
      </c>
      <c r="BN1170">
        <v>0</v>
      </c>
      <c r="BO1170">
        <v>0</v>
      </c>
      <c r="BP1170">
        <v>0</v>
      </c>
      <c r="BT1170">
        <v>0</v>
      </c>
      <c r="BU1170">
        <v>0</v>
      </c>
      <c r="CE1170" t="str">
        <f>"20:27:59.534"</f>
        <v>20:27:59.534</v>
      </c>
      <c r="CF1170">
        <v>534223899</v>
      </c>
      <c r="CS1170">
        <v>0</v>
      </c>
      <c r="CT1170">
        <v>2</v>
      </c>
      <c r="CU1170">
        <v>0</v>
      </c>
      <c r="CV1170">
        <v>2</v>
      </c>
      <c r="CW1170">
        <v>0</v>
      </c>
      <c r="CX1170">
        <v>3</v>
      </c>
      <c r="CY1170">
        <v>7</v>
      </c>
      <c r="CZ1170" t="s">
        <v>131</v>
      </c>
      <c r="DA1170">
        <v>116</v>
      </c>
      <c r="DB1170">
        <v>3</v>
      </c>
      <c r="DC1170" t="s">
        <v>132</v>
      </c>
      <c r="DD1170" t="s">
        <v>133</v>
      </c>
      <c r="DG1170">
        <v>8476661</v>
      </c>
      <c r="DI1170">
        <v>0</v>
      </c>
      <c r="DJ1170">
        <v>1</v>
      </c>
      <c r="DK1170">
        <v>1</v>
      </c>
      <c r="DL1170">
        <v>0</v>
      </c>
      <c r="DM1170">
        <v>0</v>
      </c>
      <c r="DN1170">
        <v>0</v>
      </c>
      <c r="DO1170">
        <v>0</v>
      </c>
      <c r="DP1170">
        <v>1</v>
      </c>
      <c r="DQ1170">
        <v>0</v>
      </c>
      <c r="DR1170">
        <v>0</v>
      </c>
      <c r="DS1170">
        <v>1</v>
      </c>
    </row>
    <row r="1171" spans="1:123" x14ac:dyDescent="0.25">
      <c r="A1171" t="str">
        <f>"11/29/2023 20:27:59.868"</f>
        <v>11/29/2023 20:27:59.868</v>
      </c>
      <c r="C1171" t="str">
        <f t="shared" si="134"/>
        <v>FFDF53C0</v>
      </c>
      <c r="D1171" t="s">
        <v>123</v>
      </c>
      <c r="E1171">
        <v>14</v>
      </c>
      <c r="F1171">
        <v>1014</v>
      </c>
      <c r="G1171" t="s">
        <v>124</v>
      </c>
      <c r="J1171" t="s">
        <v>125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>"20:27:59.531"</f>
        <v>20:27:59.531</v>
      </c>
      <c r="T1171" t="str">
        <f>"20:27:59.031"</f>
        <v>20:27:59.031</v>
      </c>
      <c r="U1171" t="str">
        <f t="shared" si="131"/>
        <v>AA0632</v>
      </c>
      <c r="V1171">
        <v>0</v>
      </c>
      <c r="W1171">
        <v>0</v>
      </c>
      <c r="X1171">
        <v>2</v>
      </c>
      <c r="Y1171">
        <v>0</v>
      </c>
      <c r="AA1171">
        <v>0</v>
      </c>
      <c r="AB1171">
        <v>9</v>
      </c>
      <c r="AC1171">
        <v>3</v>
      </c>
      <c r="AD1171">
        <v>0</v>
      </c>
      <c r="AE1171">
        <v>10</v>
      </c>
      <c r="AF1171" t="s">
        <v>126</v>
      </c>
      <c r="AG1171">
        <v>0</v>
      </c>
      <c r="AH1171">
        <v>0</v>
      </c>
      <c r="AI1171">
        <v>2</v>
      </c>
      <c r="AJ1171">
        <v>0</v>
      </c>
      <c r="AK1171" t="s">
        <v>675</v>
      </c>
      <c r="AL1171">
        <v>31.923200999999999</v>
      </c>
      <c r="AM1171" t="s">
        <v>674</v>
      </c>
      <c r="AN1171">
        <v>-100.96922600000001</v>
      </c>
      <c r="AQ1171" t="s">
        <v>129</v>
      </c>
      <c r="AR1171">
        <v>0</v>
      </c>
      <c r="AS1171">
        <v>3</v>
      </c>
      <c r="AT1171">
        <v>-256</v>
      </c>
      <c r="BB1171" t="str">
        <f t="shared" si="132"/>
        <v>1200</v>
      </c>
      <c r="BC1171">
        <v>1</v>
      </c>
      <c r="BD1171" t="str">
        <f t="shared" si="135"/>
        <v xml:space="preserve">N745MB  </v>
      </c>
      <c r="BE1171">
        <v>1</v>
      </c>
      <c r="BG1171">
        <v>0</v>
      </c>
      <c r="BH1171">
        <v>0</v>
      </c>
      <c r="BI1171">
        <v>0</v>
      </c>
      <c r="BL1171" t="s">
        <v>130</v>
      </c>
      <c r="BM1171">
        <v>1</v>
      </c>
      <c r="BN1171">
        <v>0</v>
      </c>
      <c r="BO1171">
        <v>0</v>
      </c>
      <c r="BP1171">
        <v>0</v>
      </c>
      <c r="BT1171">
        <v>0</v>
      </c>
      <c r="BU1171">
        <v>0</v>
      </c>
      <c r="CE1171" t="str">
        <f>"20:27:59.534"</f>
        <v>20:27:59.534</v>
      </c>
      <c r="CF1171">
        <v>534223899</v>
      </c>
      <c r="CS1171">
        <v>0</v>
      </c>
      <c r="CT1171">
        <v>2</v>
      </c>
      <c r="CU1171">
        <v>0</v>
      </c>
      <c r="CV1171">
        <v>2</v>
      </c>
      <c r="CW1171">
        <v>0</v>
      </c>
      <c r="CX1171">
        <v>3</v>
      </c>
      <c r="CY1171">
        <v>7</v>
      </c>
      <c r="CZ1171" t="s">
        <v>131</v>
      </c>
      <c r="DA1171">
        <v>116</v>
      </c>
      <c r="DB1171">
        <v>3</v>
      </c>
      <c r="DC1171" t="s">
        <v>132</v>
      </c>
      <c r="DD1171" t="s">
        <v>133</v>
      </c>
      <c r="DG1171">
        <v>8476661</v>
      </c>
      <c r="DI1171">
        <v>0</v>
      </c>
      <c r="DJ1171">
        <v>1</v>
      </c>
      <c r="DK1171">
        <v>1</v>
      </c>
      <c r="DL1171">
        <v>0</v>
      </c>
      <c r="DM1171">
        <v>0</v>
      </c>
      <c r="DN1171">
        <v>0</v>
      </c>
      <c r="DO1171">
        <v>0</v>
      </c>
      <c r="DP1171">
        <v>1</v>
      </c>
      <c r="DQ1171">
        <v>0</v>
      </c>
      <c r="DR1171">
        <v>0</v>
      </c>
      <c r="DS1171">
        <v>1</v>
      </c>
    </row>
    <row r="1172" spans="1:123" x14ac:dyDescent="0.25">
      <c r="A1172" t="str">
        <f>"11/29/2023 20:27:59.899"</f>
        <v>11/29/2023 20:27:59.899</v>
      </c>
      <c r="C1172" t="str">
        <f t="shared" si="134"/>
        <v>FFDF53C0</v>
      </c>
      <c r="D1172" t="s">
        <v>123</v>
      </c>
      <c r="E1172">
        <v>1</v>
      </c>
      <c r="F1172">
        <v>1001</v>
      </c>
      <c r="G1172" t="s">
        <v>134</v>
      </c>
      <c r="J1172" t="s">
        <v>125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>"20:27:59.531"</f>
        <v>20:27:59.531</v>
      </c>
      <c r="T1172" t="str">
        <f>"20:27:59.031"</f>
        <v>20:27:59.031</v>
      </c>
      <c r="U1172" t="str">
        <f t="shared" si="131"/>
        <v>AA0632</v>
      </c>
      <c r="V1172">
        <v>0</v>
      </c>
      <c r="W1172">
        <v>0</v>
      </c>
      <c r="X1172">
        <v>2</v>
      </c>
      <c r="Y1172">
        <v>0</v>
      </c>
      <c r="AA1172">
        <v>0</v>
      </c>
      <c r="AB1172">
        <v>9</v>
      </c>
      <c r="AC1172">
        <v>3</v>
      </c>
      <c r="AD1172">
        <v>0</v>
      </c>
      <c r="AE1172">
        <v>10</v>
      </c>
      <c r="AF1172" t="s">
        <v>126</v>
      </c>
      <c r="AG1172">
        <v>0</v>
      </c>
      <c r="AH1172">
        <v>0</v>
      </c>
      <c r="AI1172">
        <v>2</v>
      </c>
      <c r="AJ1172">
        <v>0</v>
      </c>
      <c r="AK1172" t="s">
        <v>675</v>
      </c>
      <c r="AL1172">
        <v>31.923200999999999</v>
      </c>
      <c r="AM1172" t="s">
        <v>674</v>
      </c>
      <c r="AN1172">
        <v>-100.96922600000001</v>
      </c>
      <c r="AQ1172" t="s">
        <v>129</v>
      </c>
      <c r="AR1172">
        <v>0</v>
      </c>
      <c r="AS1172">
        <v>3</v>
      </c>
      <c r="AT1172">
        <v>-256</v>
      </c>
      <c r="BB1172" t="str">
        <f t="shared" si="132"/>
        <v>1200</v>
      </c>
      <c r="BC1172">
        <v>1</v>
      </c>
      <c r="BD1172" t="str">
        <f t="shared" si="135"/>
        <v xml:space="preserve">N745MB  </v>
      </c>
      <c r="BE1172">
        <v>1</v>
      </c>
      <c r="BG1172">
        <v>0</v>
      </c>
      <c r="BH1172">
        <v>0</v>
      </c>
      <c r="BI1172">
        <v>0</v>
      </c>
      <c r="BL1172" t="s">
        <v>130</v>
      </c>
      <c r="BM1172">
        <v>1</v>
      </c>
      <c r="BN1172">
        <v>0</v>
      </c>
      <c r="BO1172">
        <v>0</v>
      </c>
      <c r="BP1172">
        <v>0</v>
      </c>
      <c r="BT1172">
        <v>0</v>
      </c>
      <c r="BU1172">
        <v>0</v>
      </c>
      <c r="CE1172" t="str">
        <f>"20:27:59.534"</f>
        <v>20:27:59.534</v>
      </c>
      <c r="CF1172">
        <v>534223899</v>
      </c>
      <c r="CS1172">
        <v>0</v>
      </c>
      <c r="CT1172">
        <v>2</v>
      </c>
      <c r="CU1172">
        <v>0</v>
      </c>
      <c r="CV1172">
        <v>2</v>
      </c>
      <c r="CW1172">
        <v>0</v>
      </c>
      <c r="CX1172">
        <v>3</v>
      </c>
      <c r="CY1172">
        <v>7</v>
      </c>
      <c r="CZ1172" t="s">
        <v>131</v>
      </c>
      <c r="DA1172">
        <v>116</v>
      </c>
      <c r="DB1172">
        <v>3</v>
      </c>
      <c r="DC1172" t="s">
        <v>132</v>
      </c>
      <c r="DD1172" t="s">
        <v>133</v>
      </c>
      <c r="DG1172">
        <v>8476661</v>
      </c>
      <c r="DI1172">
        <v>0</v>
      </c>
      <c r="DJ1172">
        <v>1</v>
      </c>
      <c r="DK1172">
        <v>1</v>
      </c>
      <c r="DL1172">
        <v>0</v>
      </c>
      <c r="DM1172">
        <v>0</v>
      </c>
      <c r="DN1172">
        <v>0</v>
      </c>
      <c r="DO1172">
        <v>0</v>
      </c>
      <c r="DP1172">
        <v>1</v>
      </c>
      <c r="DQ1172">
        <v>0</v>
      </c>
      <c r="DR1172">
        <v>0</v>
      </c>
      <c r="DS1172">
        <v>1</v>
      </c>
    </row>
    <row r="1173" spans="1:123" x14ac:dyDescent="0.25">
      <c r="A1173" t="str">
        <f>"11/29/2023 20:28:01.446"</f>
        <v>11/29/2023 20:28:01.446</v>
      </c>
      <c r="C1173" t="str">
        <f t="shared" si="134"/>
        <v>FFDF53C0</v>
      </c>
      <c r="D1173" t="s">
        <v>123</v>
      </c>
      <c r="E1173">
        <v>14</v>
      </c>
      <c r="F1173">
        <v>1014</v>
      </c>
      <c r="G1173" t="s">
        <v>124</v>
      </c>
      <c r="J1173" t="s">
        <v>125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>"20:28:01.039"</f>
        <v>20:28:01.039</v>
      </c>
      <c r="T1173" t="str">
        <f>"20:27:59.639"</f>
        <v>20:27:59.639</v>
      </c>
      <c r="U1173" t="str">
        <f t="shared" si="131"/>
        <v>AA0632</v>
      </c>
      <c r="V1173">
        <v>0</v>
      </c>
      <c r="W1173">
        <v>0</v>
      </c>
      <c r="X1173">
        <v>2</v>
      </c>
      <c r="Y1173">
        <v>0</v>
      </c>
      <c r="AA1173">
        <v>0</v>
      </c>
      <c r="AB1173">
        <v>9</v>
      </c>
      <c r="AC1173">
        <v>3</v>
      </c>
      <c r="AD1173">
        <v>0</v>
      </c>
      <c r="AE1173">
        <v>10</v>
      </c>
      <c r="AF1173" t="s">
        <v>126</v>
      </c>
      <c r="AG1173">
        <v>0</v>
      </c>
      <c r="AH1173">
        <v>0</v>
      </c>
      <c r="AI1173">
        <v>2</v>
      </c>
      <c r="AJ1173">
        <v>0</v>
      </c>
      <c r="AK1173" t="s">
        <v>676</v>
      </c>
      <c r="AL1173">
        <v>31.923244</v>
      </c>
      <c r="AM1173" t="s">
        <v>672</v>
      </c>
      <c r="AN1173">
        <v>-100.96924799999999</v>
      </c>
      <c r="AQ1173" t="s">
        <v>129</v>
      </c>
      <c r="AR1173">
        <v>0</v>
      </c>
      <c r="AS1173">
        <v>4</v>
      </c>
      <c r="AT1173">
        <v>-192</v>
      </c>
      <c r="BB1173" t="str">
        <f t="shared" si="132"/>
        <v>1200</v>
      </c>
      <c r="BC1173">
        <v>1</v>
      </c>
      <c r="BD1173" t="str">
        <f t="shared" si="135"/>
        <v xml:space="preserve">N745MB  </v>
      </c>
      <c r="BE1173">
        <v>1</v>
      </c>
      <c r="BG1173">
        <v>0</v>
      </c>
      <c r="BH1173">
        <v>0</v>
      </c>
      <c r="BI1173">
        <v>0</v>
      </c>
      <c r="BL1173" t="s">
        <v>130</v>
      </c>
      <c r="BM1173">
        <v>1</v>
      </c>
      <c r="BN1173">
        <v>0</v>
      </c>
      <c r="BO1173">
        <v>0</v>
      </c>
      <c r="BP1173">
        <v>0</v>
      </c>
      <c r="BT1173">
        <v>0</v>
      </c>
      <c r="BU1173">
        <v>0</v>
      </c>
      <c r="CE1173" t="str">
        <f>"20:28:01.040"</f>
        <v>20:28:01.040</v>
      </c>
      <c r="CF1173">
        <v>40120252</v>
      </c>
      <c r="CS1173">
        <v>0</v>
      </c>
      <c r="CT1173">
        <v>2</v>
      </c>
      <c r="CU1173">
        <v>0</v>
      </c>
      <c r="CV1173">
        <v>2</v>
      </c>
      <c r="CW1173">
        <v>0</v>
      </c>
      <c r="CX1173">
        <v>4</v>
      </c>
      <c r="CY1173">
        <v>7</v>
      </c>
      <c r="CZ1173" t="s">
        <v>131</v>
      </c>
      <c r="DA1173">
        <v>116</v>
      </c>
      <c r="DB1173">
        <v>0</v>
      </c>
      <c r="DC1173" t="s">
        <v>132</v>
      </c>
      <c r="DD1173" t="s">
        <v>133</v>
      </c>
      <c r="DG1173">
        <v>14772103</v>
      </c>
      <c r="DI1173">
        <v>0</v>
      </c>
      <c r="DJ1173">
        <v>1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1</v>
      </c>
      <c r="DQ1173">
        <v>0</v>
      </c>
      <c r="DR1173">
        <v>0</v>
      </c>
      <c r="DS1173">
        <v>1</v>
      </c>
    </row>
    <row r="1174" spans="1:123" x14ac:dyDescent="0.25">
      <c r="A1174" t="str">
        <f>"11/29/2023 20:28:01.477"</f>
        <v>11/29/2023 20:28:01.477</v>
      </c>
      <c r="C1174" t="str">
        <f t="shared" si="134"/>
        <v>FFDF53C0</v>
      </c>
      <c r="D1174" t="s">
        <v>123</v>
      </c>
      <c r="E1174">
        <v>1</v>
      </c>
      <c r="F1174">
        <v>1001</v>
      </c>
      <c r="G1174" t="s">
        <v>134</v>
      </c>
      <c r="J1174" t="s">
        <v>125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>"20:28:01.039"</f>
        <v>20:28:01.039</v>
      </c>
      <c r="T1174" t="str">
        <f>"20:27:59.639"</f>
        <v>20:27:59.639</v>
      </c>
      <c r="U1174" t="str">
        <f t="shared" si="131"/>
        <v>AA0632</v>
      </c>
      <c r="V1174">
        <v>0</v>
      </c>
      <c r="W1174">
        <v>0</v>
      </c>
      <c r="X1174">
        <v>2</v>
      </c>
      <c r="Y1174">
        <v>0</v>
      </c>
      <c r="AA1174">
        <v>0</v>
      </c>
      <c r="AB1174">
        <v>9</v>
      </c>
      <c r="AC1174">
        <v>3</v>
      </c>
      <c r="AD1174">
        <v>0</v>
      </c>
      <c r="AE1174">
        <v>10</v>
      </c>
      <c r="AF1174" t="s">
        <v>126</v>
      </c>
      <c r="AG1174">
        <v>0</v>
      </c>
      <c r="AH1174">
        <v>0</v>
      </c>
      <c r="AI1174">
        <v>2</v>
      </c>
      <c r="AJ1174">
        <v>0</v>
      </c>
      <c r="AK1174" t="s">
        <v>676</v>
      </c>
      <c r="AL1174">
        <v>31.923244</v>
      </c>
      <c r="AM1174" t="s">
        <v>672</v>
      </c>
      <c r="AN1174">
        <v>-100.96924799999999</v>
      </c>
      <c r="AQ1174" t="s">
        <v>129</v>
      </c>
      <c r="AR1174">
        <v>0</v>
      </c>
      <c r="AS1174">
        <v>4</v>
      </c>
      <c r="AT1174">
        <v>-192</v>
      </c>
      <c r="BB1174" t="str">
        <f t="shared" si="132"/>
        <v>1200</v>
      </c>
      <c r="BC1174">
        <v>1</v>
      </c>
      <c r="BD1174" t="str">
        <f t="shared" si="135"/>
        <v xml:space="preserve">N745MB  </v>
      </c>
      <c r="BE1174">
        <v>1</v>
      </c>
      <c r="BG1174">
        <v>0</v>
      </c>
      <c r="BH1174">
        <v>0</v>
      </c>
      <c r="BI1174">
        <v>0</v>
      </c>
      <c r="BL1174" t="s">
        <v>130</v>
      </c>
      <c r="BM1174">
        <v>1</v>
      </c>
      <c r="BN1174">
        <v>0</v>
      </c>
      <c r="BO1174">
        <v>0</v>
      </c>
      <c r="BP1174">
        <v>0</v>
      </c>
      <c r="BT1174">
        <v>0</v>
      </c>
      <c r="BU1174">
        <v>0</v>
      </c>
      <c r="CE1174" t="str">
        <f>"20:28:01.040"</f>
        <v>20:28:01.040</v>
      </c>
      <c r="CF1174">
        <v>40120252</v>
      </c>
      <c r="CS1174">
        <v>0</v>
      </c>
      <c r="CT1174">
        <v>2</v>
      </c>
      <c r="CU1174">
        <v>0</v>
      </c>
      <c r="CV1174">
        <v>2</v>
      </c>
      <c r="CW1174">
        <v>0</v>
      </c>
      <c r="CX1174">
        <v>4</v>
      </c>
      <c r="CY1174">
        <v>7</v>
      </c>
      <c r="CZ1174" t="s">
        <v>131</v>
      </c>
      <c r="DA1174">
        <v>116</v>
      </c>
      <c r="DB1174">
        <v>0</v>
      </c>
      <c r="DC1174" t="s">
        <v>132</v>
      </c>
      <c r="DD1174" t="s">
        <v>133</v>
      </c>
      <c r="DG1174">
        <v>14772103</v>
      </c>
      <c r="DI1174">
        <v>0</v>
      </c>
      <c r="DJ1174">
        <v>1</v>
      </c>
      <c r="DK1174">
        <v>1</v>
      </c>
      <c r="DL1174">
        <v>0</v>
      </c>
      <c r="DM1174">
        <v>0</v>
      </c>
      <c r="DN1174">
        <v>0</v>
      </c>
      <c r="DO1174">
        <v>0</v>
      </c>
      <c r="DP1174">
        <v>1</v>
      </c>
      <c r="DQ1174">
        <v>0</v>
      </c>
      <c r="DR1174">
        <v>0</v>
      </c>
      <c r="DS1174">
        <v>1</v>
      </c>
    </row>
    <row r="1175" spans="1:123" x14ac:dyDescent="0.25">
      <c r="A1175" t="str">
        <f>"11/29/2023 20:28:01.477"</f>
        <v>11/29/2023 20:28:01.477</v>
      </c>
      <c r="C1175" t="str">
        <f t="shared" si="134"/>
        <v>FFDF53C0</v>
      </c>
      <c r="D1175" t="s">
        <v>138</v>
      </c>
      <c r="E1175">
        <v>3</v>
      </c>
      <c r="H1175">
        <v>160</v>
      </c>
      <c r="I1175" t="s">
        <v>124</v>
      </c>
      <c r="J1175" t="s">
        <v>139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>"20:28:01.039"</f>
        <v>20:28:01.039</v>
      </c>
      <c r="T1175" t="str">
        <f>"20:27:59.639"</f>
        <v>20:27:59.639</v>
      </c>
      <c r="U1175" t="str">
        <f t="shared" si="131"/>
        <v>AA0632</v>
      </c>
      <c r="V1175">
        <v>0</v>
      </c>
      <c r="W1175">
        <v>0</v>
      </c>
      <c r="X1175">
        <v>2</v>
      </c>
      <c r="Y1175">
        <v>0</v>
      </c>
      <c r="AA1175">
        <v>0</v>
      </c>
      <c r="AB1175">
        <v>9</v>
      </c>
      <c r="AC1175">
        <v>3</v>
      </c>
      <c r="AD1175">
        <v>0</v>
      </c>
      <c r="AE1175">
        <v>10</v>
      </c>
      <c r="AF1175" t="s">
        <v>126</v>
      </c>
      <c r="AG1175">
        <v>0</v>
      </c>
      <c r="AH1175">
        <v>0</v>
      </c>
      <c r="AI1175">
        <v>2</v>
      </c>
      <c r="AJ1175">
        <v>0</v>
      </c>
      <c r="AK1175" t="s">
        <v>676</v>
      </c>
      <c r="AL1175">
        <v>31.923244</v>
      </c>
      <c r="AM1175" t="s">
        <v>672</v>
      </c>
      <c r="AN1175">
        <v>-100.96924799999999</v>
      </c>
      <c r="AQ1175" t="s">
        <v>129</v>
      </c>
      <c r="AR1175">
        <v>0</v>
      </c>
      <c r="AS1175">
        <v>4</v>
      </c>
      <c r="AT1175">
        <v>-192</v>
      </c>
      <c r="BB1175" t="str">
        <f t="shared" si="132"/>
        <v>1200</v>
      </c>
      <c r="BC1175">
        <v>1</v>
      </c>
      <c r="BD1175" t="str">
        <f t="shared" si="135"/>
        <v xml:space="preserve">N745MB  </v>
      </c>
      <c r="BE1175">
        <v>1</v>
      </c>
      <c r="BG1175">
        <v>0</v>
      </c>
      <c r="BH1175">
        <v>0</v>
      </c>
      <c r="BI1175">
        <v>0</v>
      </c>
      <c r="BL1175" t="s">
        <v>130</v>
      </c>
      <c r="BM1175">
        <v>1</v>
      </c>
      <c r="BN1175">
        <v>0</v>
      </c>
      <c r="BO1175">
        <v>0</v>
      </c>
      <c r="BP1175">
        <v>0</v>
      </c>
      <c r="BT1175">
        <v>0</v>
      </c>
      <c r="BU1175">
        <v>0</v>
      </c>
      <c r="CE1175" t="str">
        <f>"20:28:01.040"</f>
        <v>20:28:01.040</v>
      </c>
      <c r="CF1175">
        <v>40120252</v>
      </c>
      <c r="CS1175">
        <v>0</v>
      </c>
      <c r="CT1175">
        <v>2</v>
      </c>
      <c r="CU1175">
        <v>0</v>
      </c>
      <c r="CV1175">
        <v>2</v>
      </c>
      <c r="CW1175">
        <v>0</v>
      </c>
      <c r="CX1175">
        <v>4</v>
      </c>
      <c r="CY1175">
        <v>7</v>
      </c>
      <c r="CZ1175" t="s">
        <v>131</v>
      </c>
      <c r="DA1175">
        <v>116</v>
      </c>
      <c r="DB1175">
        <v>0</v>
      </c>
      <c r="DC1175" t="s">
        <v>132</v>
      </c>
      <c r="DD1175" t="s">
        <v>133</v>
      </c>
      <c r="DG1175">
        <v>14772103</v>
      </c>
      <c r="DI1175">
        <v>0</v>
      </c>
      <c r="DJ1175">
        <v>1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1</v>
      </c>
      <c r="DQ1175">
        <v>0</v>
      </c>
      <c r="DR1175">
        <v>0</v>
      </c>
      <c r="DS1175">
        <v>1</v>
      </c>
    </row>
    <row r="1176" spans="1:123" x14ac:dyDescent="0.25">
      <c r="A1176" t="str">
        <f>"11/29/2023 20:28:01.477"</f>
        <v>11/29/2023 20:28:01.477</v>
      </c>
      <c r="C1176" t="str">
        <f t="shared" si="134"/>
        <v>FFDF53C0</v>
      </c>
      <c r="D1176" t="s">
        <v>135</v>
      </c>
      <c r="E1176">
        <v>31</v>
      </c>
      <c r="H1176">
        <v>285</v>
      </c>
      <c r="I1176" t="s">
        <v>136</v>
      </c>
      <c r="J1176" t="s">
        <v>137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>"20:28:01.039"</f>
        <v>20:28:01.039</v>
      </c>
      <c r="T1176" t="str">
        <f>"20:27:59.639"</f>
        <v>20:27:59.639</v>
      </c>
      <c r="U1176" t="str">
        <f t="shared" si="131"/>
        <v>AA0632</v>
      </c>
      <c r="V1176">
        <v>0</v>
      </c>
      <c r="W1176">
        <v>0</v>
      </c>
      <c r="X1176">
        <v>2</v>
      </c>
      <c r="Y1176">
        <v>0</v>
      </c>
      <c r="AA1176">
        <v>0</v>
      </c>
      <c r="AB1176">
        <v>9</v>
      </c>
      <c r="AC1176">
        <v>3</v>
      </c>
      <c r="AD1176">
        <v>0</v>
      </c>
      <c r="AE1176">
        <v>10</v>
      </c>
      <c r="AF1176" t="s">
        <v>126</v>
      </c>
      <c r="AG1176">
        <v>0</v>
      </c>
      <c r="AH1176">
        <v>0</v>
      </c>
      <c r="AI1176">
        <v>2</v>
      </c>
      <c r="AJ1176">
        <v>0</v>
      </c>
      <c r="AK1176" t="s">
        <v>676</v>
      </c>
      <c r="AL1176">
        <v>31.923244</v>
      </c>
      <c r="AM1176" t="s">
        <v>672</v>
      </c>
      <c r="AN1176">
        <v>-100.96924799999999</v>
      </c>
      <c r="AQ1176" t="s">
        <v>129</v>
      </c>
      <c r="AR1176">
        <v>0</v>
      </c>
      <c r="AS1176">
        <v>4</v>
      </c>
      <c r="AT1176">
        <v>-192</v>
      </c>
      <c r="BB1176" t="str">
        <f t="shared" si="132"/>
        <v>1200</v>
      </c>
      <c r="BC1176">
        <v>1</v>
      </c>
      <c r="BD1176" t="str">
        <f t="shared" si="135"/>
        <v xml:space="preserve">N745MB  </v>
      </c>
      <c r="BE1176">
        <v>1</v>
      </c>
      <c r="BG1176">
        <v>0</v>
      </c>
      <c r="BH1176">
        <v>0</v>
      </c>
      <c r="BI1176">
        <v>0</v>
      </c>
      <c r="BL1176" t="s">
        <v>130</v>
      </c>
      <c r="BM1176">
        <v>1</v>
      </c>
      <c r="BN1176">
        <v>0</v>
      </c>
      <c r="BO1176">
        <v>0</v>
      </c>
      <c r="BP1176">
        <v>0</v>
      </c>
      <c r="BT1176">
        <v>0</v>
      </c>
      <c r="BU1176">
        <v>0</v>
      </c>
      <c r="CE1176" t="str">
        <f>"20:28:01.040"</f>
        <v>20:28:01.040</v>
      </c>
      <c r="CF1176">
        <v>40120252</v>
      </c>
      <c r="CS1176">
        <v>0</v>
      </c>
      <c r="CT1176">
        <v>2</v>
      </c>
      <c r="CU1176">
        <v>0</v>
      </c>
      <c r="CV1176">
        <v>2</v>
      </c>
      <c r="CW1176">
        <v>0</v>
      </c>
      <c r="CX1176">
        <v>4</v>
      </c>
      <c r="CY1176">
        <v>7</v>
      </c>
      <c r="CZ1176" t="s">
        <v>131</v>
      </c>
      <c r="DA1176">
        <v>116</v>
      </c>
      <c r="DB1176">
        <v>0</v>
      </c>
      <c r="DC1176" t="s">
        <v>132</v>
      </c>
      <c r="DD1176" t="s">
        <v>133</v>
      </c>
      <c r="DG1176">
        <v>14772103</v>
      </c>
      <c r="DI1176">
        <v>0</v>
      </c>
      <c r="DJ1176">
        <v>1</v>
      </c>
      <c r="DK1176">
        <v>1</v>
      </c>
      <c r="DL1176">
        <v>0</v>
      </c>
      <c r="DM1176">
        <v>0</v>
      </c>
      <c r="DN1176">
        <v>0</v>
      </c>
      <c r="DO1176">
        <v>0</v>
      </c>
      <c r="DP1176">
        <v>1</v>
      </c>
      <c r="DQ1176">
        <v>0</v>
      </c>
      <c r="DR1176">
        <v>0</v>
      </c>
      <c r="DS1176">
        <v>1</v>
      </c>
    </row>
    <row r="1177" spans="1:123" x14ac:dyDescent="0.25">
      <c r="A1177" t="str">
        <f>"11/29/2023 20:28:02.853"</f>
        <v>11/29/2023 20:28:02.853</v>
      </c>
      <c r="C1177" t="str">
        <f t="shared" si="134"/>
        <v>FFDF53C0</v>
      </c>
      <c r="D1177" t="s">
        <v>123</v>
      </c>
      <c r="E1177">
        <v>1</v>
      </c>
      <c r="F1177">
        <v>1001</v>
      </c>
      <c r="G1177" t="s">
        <v>134</v>
      </c>
      <c r="J1177" t="s">
        <v>125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>"20:28:02.492"</f>
        <v>20:28:02.492</v>
      </c>
      <c r="T1177" t="str">
        <f>"20:28:02.392"</f>
        <v>20:28:02.392</v>
      </c>
      <c r="U1177" t="str">
        <f t="shared" si="131"/>
        <v>AA0632</v>
      </c>
      <c r="V1177">
        <v>0</v>
      </c>
      <c r="W1177">
        <v>0</v>
      </c>
      <c r="X1177">
        <v>2</v>
      </c>
      <c r="Y1177">
        <v>0</v>
      </c>
      <c r="AA1177">
        <v>0</v>
      </c>
      <c r="AB1177">
        <v>9</v>
      </c>
      <c r="AC1177">
        <v>3</v>
      </c>
      <c r="AD1177">
        <v>0</v>
      </c>
      <c r="AE1177">
        <v>10</v>
      </c>
      <c r="AF1177" t="s">
        <v>126</v>
      </c>
      <c r="AG1177">
        <v>0</v>
      </c>
      <c r="AH1177">
        <v>0</v>
      </c>
      <c r="AI1177">
        <v>2</v>
      </c>
      <c r="AJ1177">
        <v>0</v>
      </c>
      <c r="AK1177" t="s">
        <v>676</v>
      </c>
      <c r="AL1177">
        <v>31.923244</v>
      </c>
      <c r="AM1177" t="s">
        <v>674</v>
      </c>
      <c r="AN1177">
        <v>-100.96922600000001</v>
      </c>
      <c r="AQ1177" t="s">
        <v>129</v>
      </c>
      <c r="AR1177">
        <v>0</v>
      </c>
      <c r="AS1177">
        <v>4</v>
      </c>
      <c r="AT1177">
        <v>-192</v>
      </c>
      <c r="BB1177" t="str">
        <f t="shared" si="132"/>
        <v>1200</v>
      </c>
      <c r="BC1177">
        <v>1</v>
      </c>
      <c r="BD1177" t="str">
        <f t="shared" si="135"/>
        <v xml:space="preserve">N745MB  </v>
      </c>
      <c r="BE1177">
        <v>1</v>
      </c>
      <c r="BG1177">
        <v>0</v>
      </c>
      <c r="BH1177">
        <v>0</v>
      </c>
      <c r="BI1177">
        <v>0</v>
      </c>
      <c r="BL1177" t="s">
        <v>130</v>
      </c>
      <c r="BM1177">
        <v>1</v>
      </c>
      <c r="BN1177">
        <v>0</v>
      </c>
      <c r="BO1177">
        <v>0</v>
      </c>
      <c r="BP1177">
        <v>0</v>
      </c>
      <c r="BT1177">
        <v>0</v>
      </c>
      <c r="BU1177">
        <v>0</v>
      </c>
      <c r="CE1177" t="str">
        <f>"20:28:02.498"</f>
        <v>20:28:02.498</v>
      </c>
      <c r="CF1177">
        <v>498022860</v>
      </c>
      <c r="CS1177">
        <v>0</v>
      </c>
      <c r="CT1177">
        <v>2</v>
      </c>
      <c r="CU1177">
        <v>0</v>
      </c>
      <c r="CV1177">
        <v>2</v>
      </c>
      <c r="CW1177">
        <v>0</v>
      </c>
      <c r="CX1177">
        <v>4</v>
      </c>
      <c r="CY1177">
        <v>7</v>
      </c>
      <c r="CZ1177" t="s">
        <v>131</v>
      </c>
      <c r="DA1177">
        <v>116</v>
      </c>
      <c r="DB1177">
        <v>0</v>
      </c>
      <c r="DC1177" t="s">
        <v>132</v>
      </c>
      <c r="DD1177" t="s">
        <v>133</v>
      </c>
      <c r="DG1177">
        <v>14773286</v>
      </c>
      <c r="DI1177">
        <v>0</v>
      </c>
      <c r="DJ1177">
        <v>1</v>
      </c>
      <c r="DK1177">
        <v>0</v>
      </c>
      <c r="DL1177">
        <v>0</v>
      </c>
      <c r="DM1177">
        <v>0</v>
      </c>
      <c r="DN1177">
        <v>0</v>
      </c>
      <c r="DO1177">
        <v>0</v>
      </c>
      <c r="DP1177">
        <v>1</v>
      </c>
      <c r="DQ1177">
        <v>0</v>
      </c>
      <c r="DR1177">
        <v>0</v>
      </c>
      <c r="DS1177">
        <v>1</v>
      </c>
    </row>
    <row r="1178" spans="1:123" x14ac:dyDescent="0.25">
      <c r="A1178" t="str">
        <f>"11/29/2023 20:28:02.899"</f>
        <v>11/29/2023 20:28:02.899</v>
      </c>
      <c r="C1178" t="str">
        <f t="shared" si="134"/>
        <v>FFDF53C0</v>
      </c>
      <c r="D1178" t="s">
        <v>138</v>
      </c>
      <c r="E1178">
        <v>3</v>
      </c>
      <c r="H1178">
        <v>160</v>
      </c>
      <c r="I1178" t="s">
        <v>124</v>
      </c>
      <c r="J1178" t="s">
        <v>139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>"20:28:02.492"</f>
        <v>20:28:02.492</v>
      </c>
      <c r="T1178" t="str">
        <f>"20:28:02.392"</f>
        <v>20:28:02.392</v>
      </c>
      <c r="U1178" t="str">
        <f t="shared" si="131"/>
        <v>AA0632</v>
      </c>
      <c r="V1178">
        <v>0</v>
      </c>
      <c r="W1178">
        <v>0</v>
      </c>
      <c r="X1178">
        <v>2</v>
      </c>
      <c r="Y1178">
        <v>0</v>
      </c>
      <c r="AA1178">
        <v>0</v>
      </c>
      <c r="AB1178">
        <v>9</v>
      </c>
      <c r="AC1178">
        <v>3</v>
      </c>
      <c r="AD1178">
        <v>0</v>
      </c>
      <c r="AE1178">
        <v>10</v>
      </c>
      <c r="AF1178" t="s">
        <v>126</v>
      </c>
      <c r="AG1178">
        <v>0</v>
      </c>
      <c r="AH1178">
        <v>0</v>
      </c>
      <c r="AI1178">
        <v>2</v>
      </c>
      <c r="AJ1178">
        <v>0</v>
      </c>
      <c r="AK1178" t="s">
        <v>676</v>
      </c>
      <c r="AL1178">
        <v>31.923244</v>
      </c>
      <c r="AM1178" t="s">
        <v>674</v>
      </c>
      <c r="AN1178">
        <v>-100.96922600000001</v>
      </c>
      <c r="AQ1178" t="s">
        <v>129</v>
      </c>
      <c r="AR1178">
        <v>0</v>
      </c>
      <c r="AS1178">
        <v>4</v>
      </c>
      <c r="AT1178">
        <v>-192</v>
      </c>
      <c r="BB1178" t="str">
        <f t="shared" si="132"/>
        <v>1200</v>
      </c>
      <c r="BC1178">
        <v>1</v>
      </c>
      <c r="BD1178" t="str">
        <f t="shared" si="135"/>
        <v xml:space="preserve">N745MB  </v>
      </c>
      <c r="BE1178">
        <v>1</v>
      </c>
      <c r="BG1178">
        <v>0</v>
      </c>
      <c r="BH1178">
        <v>0</v>
      </c>
      <c r="BI1178">
        <v>0</v>
      </c>
      <c r="BL1178" t="s">
        <v>130</v>
      </c>
      <c r="BM1178">
        <v>1</v>
      </c>
      <c r="BN1178">
        <v>0</v>
      </c>
      <c r="BO1178">
        <v>0</v>
      </c>
      <c r="BP1178">
        <v>0</v>
      </c>
      <c r="BT1178">
        <v>0</v>
      </c>
      <c r="BU1178">
        <v>0</v>
      </c>
      <c r="CE1178" t="str">
        <f>"20:28:02.498"</f>
        <v>20:28:02.498</v>
      </c>
      <c r="CF1178">
        <v>498022860</v>
      </c>
      <c r="CS1178">
        <v>0</v>
      </c>
      <c r="CT1178">
        <v>2</v>
      </c>
      <c r="CU1178">
        <v>0</v>
      </c>
      <c r="CV1178">
        <v>2</v>
      </c>
      <c r="CW1178">
        <v>0</v>
      </c>
      <c r="CX1178">
        <v>4</v>
      </c>
      <c r="CY1178">
        <v>7</v>
      </c>
      <c r="CZ1178" t="s">
        <v>131</v>
      </c>
      <c r="DA1178">
        <v>116</v>
      </c>
      <c r="DB1178">
        <v>0</v>
      </c>
      <c r="DC1178" t="s">
        <v>132</v>
      </c>
      <c r="DD1178" t="s">
        <v>133</v>
      </c>
      <c r="DG1178">
        <v>14773286</v>
      </c>
      <c r="DI1178">
        <v>0</v>
      </c>
      <c r="DJ1178">
        <v>1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1</v>
      </c>
      <c r="DQ1178">
        <v>0</v>
      </c>
      <c r="DR1178">
        <v>0</v>
      </c>
      <c r="DS1178">
        <v>1</v>
      </c>
    </row>
    <row r="1179" spans="1:123" x14ac:dyDescent="0.25">
      <c r="A1179" t="str">
        <f>"11/29/2023 20:28:02.899"</f>
        <v>11/29/2023 20:28:02.899</v>
      </c>
      <c r="C1179" t="str">
        <f t="shared" si="134"/>
        <v>FFDF53C0</v>
      </c>
      <c r="D1179" t="s">
        <v>135</v>
      </c>
      <c r="E1179">
        <v>31</v>
      </c>
      <c r="H1179">
        <v>285</v>
      </c>
      <c r="I1179" t="s">
        <v>136</v>
      </c>
      <c r="J1179" t="s">
        <v>137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>"20:28:02.492"</f>
        <v>20:28:02.492</v>
      </c>
      <c r="T1179" t="str">
        <f>"20:28:02.392"</f>
        <v>20:28:02.392</v>
      </c>
      <c r="U1179" t="str">
        <f t="shared" si="131"/>
        <v>AA0632</v>
      </c>
      <c r="V1179">
        <v>0</v>
      </c>
      <c r="W1179">
        <v>0</v>
      </c>
      <c r="X1179">
        <v>2</v>
      </c>
      <c r="Y1179">
        <v>0</v>
      </c>
      <c r="AA1179">
        <v>0</v>
      </c>
      <c r="AB1179">
        <v>9</v>
      </c>
      <c r="AC1179">
        <v>3</v>
      </c>
      <c r="AD1179">
        <v>0</v>
      </c>
      <c r="AE1179">
        <v>10</v>
      </c>
      <c r="AF1179" t="s">
        <v>126</v>
      </c>
      <c r="AG1179">
        <v>0</v>
      </c>
      <c r="AH1179">
        <v>0</v>
      </c>
      <c r="AI1179">
        <v>2</v>
      </c>
      <c r="AJ1179">
        <v>0</v>
      </c>
      <c r="AK1179" t="s">
        <v>676</v>
      </c>
      <c r="AL1179">
        <v>31.923244</v>
      </c>
      <c r="AM1179" t="s">
        <v>674</v>
      </c>
      <c r="AN1179">
        <v>-100.96922600000001</v>
      </c>
      <c r="AQ1179" t="s">
        <v>129</v>
      </c>
      <c r="AR1179">
        <v>0</v>
      </c>
      <c r="AS1179">
        <v>4</v>
      </c>
      <c r="AT1179">
        <v>-192</v>
      </c>
      <c r="BB1179" t="str">
        <f t="shared" si="132"/>
        <v>1200</v>
      </c>
      <c r="BC1179">
        <v>1</v>
      </c>
      <c r="BD1179" t="str">
        <f t="shared" si="135"/>
        <v xml:space="preserve">N745MB  </v>
      </c>
      <c r="BE1179">
        <v>1</v>
      </c>
      <c r="BG1179">
        <v>0</v>
      </c>
      <c r="BH1179">
        <v>0</v>
      </c>
      <c r="BI1179">
        <v>0</v>
      </c>
      <c r="BL1179" t="s">
        <v>130</v>
      </c>
      <c r="BM1179">
        <v>1</v>
      </c>
      <c r="BN1179">
        <v>0</v>
      </c>
      <c r="BO1179">
        <v>0</v>
      </c>
      <c r="BP1179">
        <v>0</v>
      </c>
      <c r="BT1179">
        <v>0</v>
      </c>
      <c r="BU1179">
        <v>0</v>
      </c>
      <c r="CE1179" t="str">
        <f>"20:28:02.498"</f>
        <v>20:28:02.498</v>
      </c>
      <c r="CF1179">
        <v>498022860</v>
      </c>
      <c r="CS1179">
        <v>0</v>
      </c>
      <c r="CT1179">
        <v>2</v>
      </c>
      <c r="CU1179">
        <v>0</v>
      </c>
      <c r="CV1179">
        <v>2</v>
      </c>
      <c r="CW1179">
        <v>0</v>
      </c>
      <c r="CX1179">
        <v>4</v>
      </c>
      <c r="CY1179">
        <v>7</v>
      </c>
      <c r="CZ1179" t="s">
        <v>131</v>
      </c>
      <c r="DA1179">
        <v>116</v>
      </c>
      <c r="DB1179">
        <v>0</v>
      </c>
      <c r="DC1179" t="s">
        <v>132</v>
      </c>
      <c r="DD1179" t="s">
        <v>133</v>
      </c>
      <c r="DG1179">
        <v>14773286</v>
      </c>
      <c r="DI1179">
        <v>0</v>
      </c>
      <c r="DJ1179">
        <v>1</v>
      </c>
      <c r="DK1179">
        <v>1</v>
      </c>
      <c r="DL1179">
        <v>0</v>
      </c>
      <c r="DM1179">
        <v>0</v>
      </c>
      <c r="DN1179">
        <v>0</v>
      </c>
      <c r="DO1179">
        <v>0</v>
      </c>
      <c r="DP1179">
        <v>1</v>
      </c>
      <c r="DQ1179">
        <v>0</v>
      </c>
      <c r="DR1179">
        <v>0</v>
      </c>
      <c r="DS1179">
        <v>1</v>
      </c>
    </row>
    <row r="1180" spans="1:123" x14ac:dyDescent="0.25">
      <c r="A1180" t="str">
        <f>"11/29/2023 20:28:02.899"</f>
        <v>11/29/2023 20:28:02.899</v>
      </c>
      <c r="C1180" t="str">
        <f t="shared" si="134"/>
        <v>FFDF53C0</v>
      </c>
      <c r="D1180" t="s">
        <v>123</v>
      </c>
      <c r="E1180">
        <v>14</v>
      </c>
      <c r="F1180">
        <v>1014</v>
      </c>
      <c r="G1180" t="s">
        <v>124</v>
      </c>
      <c r="J1180" t="s">
        <v>125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>"20:28:02.492"</f>
        <v>20:28:02.492</v>
      </c>
      <c r="T1180" t="str">
        <f>"20:28:02.392"</f>
        <v>20:28:02.392</v>
      </c>
      <c r="U1180" t="str">
        <f t="shared" si="131"/>
        <v>AA0632</v>
      </c>
      <c r="V1180">
        <v>0</v>
      </c>
      <c r="W1180">
        <v>0</v>
      </c>
      <c r="X1180">
        <v>2</v>
      </c>
      <c r="Y1180">
        <v>0</v>
      </c>
      <c r="AA1180">
        <v>0</v>
      </c>
      <c r="AB1180">
        <v>9</v>
      </c>
      <c r="AC1180">
        <v>3</v>
      </c>
      <c r="AD1180">
        <v>0</v>
      </c>
      <c r="AE1180">
        <v>10</v>
      </c>
      <c r="AF1180" t="s">
        <v>126</v>
      </c>
      <c r="AG1180">
        <v>0</v>
      </c>
      <c r="AH1180">
        <v>0</v>
      </c>
      <c r="AI1180">
        <v>2</v>
      </c>
      <c r="AJ1180">
        <v>0</v>
      </c>
      <c r="AK1180" t="s">
        <v>676</v>
      </c>
      <c r="AL1180">
        <v>31.923244</v>
      </c>
      <c r="AM1180" t="s">
        <v>674</v>
      </c>
      <c r="AN1180">
        <v>-100.96922600000001</v>
      </c>
      <c r="AQ1180" t="s">
        <v>129</v>
      </c>
      <c r="AR1180">
        <v>0</v>
      </c>
      <c r="AS1180">
        <v>4</v>
      </c>
      <c r="AT1180">
        <v>-192</v>
      </c>
      <c r="BB1180" t="str">
        <f t="shared" si="132"/>
        <v>1200</v>
      </c>
      <c r="BC1180">
        <v>1</v>
      </c>
      <c r="BD1180" t="str">
        <f t="shared" si="135"/>
        <v xml:space="preserve">N745MB  </v>
      </c>
      <c r="BE1180">
        <v>1</v>
      </c>
      <c r="BG1180">
        <v>0</v>
      </c>
      <c r="BH1180">
        <v>0</v>
      </c>
      <c r="BI1180">
        <v>0</v>
      </c>
      <c r="BL1180" t="s">
        <v>130</v>
      </c>
      <c r="BM1180">
        <v>1</v>
      </c>
      <c r="BN1180">
        <v>0</v>
      </c>
      <c r="BO1180">
        <v>0</v>
      </c>
      <c r="BP1180">
        <v>0</v>
      </c>
      <c r="BT1180">
        <v>0</v>
      </c>
      <c r="BU1180">
        <v>0</v>
      </c>
      <c r="CE1180" t="str">
        <f>"20:28:02.498"</f>
        <v>20:28:02.498</v>
      </c>
      <c r="CF1180">
        <v>498022860</v>
      </c>
      <c r="CS1180">
        <v>0</v>
      </c>
      <c r="CT1180">
        <v>2</v>
      </c>
      <c r="CU1180">
        <v>0</v>
      </c>
      <c r="CV1180">
        <v>2</v>
      </c>
      <c r="CW1180">
        <v>0</v>
      </c>
      <c r="CX1180">
        <v>4</v>
      </c>
      <c r="CY1180">
        <v>7</v>
      </c>
      <c r="CZ1180" t="s">
        <v>131</v>
      </c>
      <c r="DA1180">
        <v>116</v>
      </c>
      <c r="DB1180">
        <v>0</v>
      </c>
      <c r="DC1180" t="s">
        <v>132</v>
      </c>
      <c r="DD1180" t="s">
        <v>133</v>
      </c>
      <c r="DG1180">
        <v>14773286</v>
      </c>
      <c r="DI1180">
        <v>0</v>
      </c>
      <c r="DJ1180">
        <v>1</v>
      </c>
      <c r="DK1180">
        <v>1</v>
      </c>
      <c r="DL1180">
        <v>0</v>
      </c>
      <c r="DM1180">
        <v>0</v>
      </c>
      <c r="DN1180">
        <v>0</v>
      </c>
      <c r="DO1180">
        <v>0</v>
      </c>
      <c r="DP1180">
        <v>1</v>
      </c>
      <c r="DQ1180">
        <v>0</v>
      </c>
      <c r="DR1180">
        <v>0</v>
      </c>
      <c r="DS1180">
        <v>1</v>
      </c>
    </row>
    <row r="1181" spans="1:123" x14ac:dyDescent="0.25">
      <c r="A1181" t="str">
        <f>"11/29/2023 20:28:04.493"</f>
        <v>11/29/2023 20:28:04.493</v>
      </c>
      <c r="C1181" t="str">
        <f t="shared" si="134"/>
        <v>FFDF53C0</v>
      </c>
      <c r="D1181" t="s">
        <v>135</v>
      </c>
      <c r="E1181">
        <v>31</v>
      </c>
      <c r="H1181">
        <v>285</v>
      </c>
      <c r="I1181" t="s">
        <v>136</v>
      </c>
      <c r="J1181" t="s">
        <v>137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>"20:28:03.984"</f>
        <v>20:28:03.984</v>
      </c>
      <c r="T1181" t="str">
        <f>"20:28:03.684"</f>
        <v>20:28:03.684</v>
      </c>
      <c r="U1181" t="str">
        <f t="shared" si="131"/>
        <v>AA0632</v>
      </c>
      <c r="V1181">
        <v>0</v>
      </c>
      <c r="W1181">
        <v>0</v>
      </c>
      <c r="X1181">
        <v>2</v>
      </c>
      <c r="Y1181">
        <v>0</v>
      </c>
      <c r="AA1181">
        <v>0</v>
      </c>
      <c r="AB1181">
        <v>9</v>
      </c>
      <c r="AC1181">
        <v>3</v>
      </c>
      <c r="AD1181">
        <v>0</v>
      </c>
      <c r="AE1181">
        <v>10</v>
      </c>
      <c r="AF1181" t="s">
        <v>126</v>
      </c>
      <c r="AG1181">
        <v>0</v>
      </c>
      <c r="AH1181">
        <v>0</v>
      </c>
      <c r="AI1181">
        <v>2</v>
      </c>
      <c r="AJ1181">
        <v>0</v>
      </c>
      <c r="AK1181" t="s">
        <v>677</v>
      </c>
      <c r="AL1181">
        <v>31.923286999999998</v>
      </c>
      <c r="AM1181" t="s">
        <v>672</v>
      </c>
      <c r="AN1181">
        <v>-100.96924799999999</v>
      </c>
      <c r="AQ1181" t="s">
        <v>129</v>
      </c>
      <c r="AR1181">
        <v>0</v>
      </c>
      <c r="AS1181">
        <v>3</v>
      </c>
      <c r="AT1181">
        <v>-128</v>
      </c>
      <c r="BB1181" t="str">
        <f t="shared" si="132"/>
        <v>1200</v>
      </c>
      <c r="BC1181">
        <v>1</v>
      </c>
      <c r="BD1181" t="str">
        <f t="shared" si="135"/>
        <v xml:space="preserve">N745MB  </v>
      </c>
      <c r="BE1181">
        <v>1</v>
      </c>
      <c r="BG1181">
        <v>0</v>
      </c>
      <c r="BH1181">
        <v>0</v>
      </c>
      <c r="BI1181">
        <v>0</v>
      </c>
      <c r="BL1181" t="s">
        <v>130</v>
      </c>
      <c r="BM1181">
        <v>1</v>
      </c>
      <c r="BN1181">
        <v>0</v>
      </c>
      <c r="BO1181">
        <v>0</v>
      </c>
      <c r="BP1181">
        <v>0</v>
      </c>
      <c r="BT1181">
        <v>0</v>
      </c>
      <c r="BU1181">
        <v>0</v>
      </c>
      <c r="CE1181" t="str">
        <f>"20:28:03.992"</f>
        <v>20:28:03.992</v>
      </c>
      <c r="CF1181">
        <v>991921887</v>
      </c>
      <c r="CS1181">
        <v>0</v>
      </c>
      <c r="CT1181">
        <v>2</v>
      </c>
      <c r="CU1181">
        <v>0</v>
      </c>
      <c r="CV1181">
        <v>2</v>
      </c>
      <c r="CW1181">
        <v>0</v>
      </c>
      <c r="CX1181">
        <v>5</v>
      </c>
      <c r="CY1181">
        <v>7</v>
      </c>
      <c r="CZ1181" t="s">
        <v>131</v>
      </c>
      <c r="DA1181">
        <v>116</v>
      </c>
      <c r="DB1181">
        <v>0</v>
      </c>
      <c r="DC1181" t="s">
        <v>132</v>
      </c>
      <c r="DD1181" t="s">
        <v>133</v>
      </c>
      <c r="DG1181">
        <v>14774555</v>
      </c>
      <c r="DI1181">
        <v>0</v>
      </c>
      <c r="DJ1181">
        <v>1</v>
      </c>
      <c r="DK1181">
        <v>0</v>
      </c>
      <c r="DL1181">
        <v>0</v>
      </c>
      <c r="DM1181">
        <v>0</v>
      </c>
      <c r="DN1181">
        <v>0</v>
      </c>
      <c r="DO1181">
        <v>0</v>
      </c>
      <c r="DP1181">
        <v>1</v>
      </c>
      <c r="DQ1181">
        <v>0</v>
      </c>
      <c r="DR1181">
        <v>0</v>
      </c>
      <c r="DS1181">
        <v>1</v>
      </c>
    </row>
    <row r="1182" spans="1:123" x14ac:dyDescent="0.25">
      <c r="A1182" t="str">
        <f>"11/29/2023 20:28:04.493"</f>
        <v>11/29/2023 20:28:04.493</v>
      </c>
      <c r="C1182" t="str">
        <f t="shared" si="134"/>
        <v>FFDF53C0</v>
      </c>
      <c r="D1182" t="s">
        <v>123</v>
      </c>
      <c r="E1182">
        <v>14</v>
      </c>
      <c r="F1182">
        <v>1014</v>
      </c>
      <c r="G1182" t="s">
        <v>124</v>
      </c>
      <c r="J1182" t="s">
        <v>125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>"20:28:03.984"</f>
        <v>20:28:03.984</v>
      </c>
      <c r="T1182" t="str">
        <f>"20:28:03.684"</f>
        <v>20:28:03.684</v>
      </c>
      <c r="U1182" t="str">
        <f t="shared" si="131"/>
        <v>AA0632</v>
      </c>
      <c r="V1182">
        <v>0</v>
      </c>
      <c r="W1182">
        <v>0</v>
      </c>
      <c r="X1182">
        <v>2</v>
      </c>
      <c r="Y1182">
        <v>0</v>
      </c>
      <c r="AA1182">
        <v>0</v>
      </c>
      <c r="AB1182">
        <v>9</v>
      </c>
      <c r="AC1182">
        <v>3</v>
      </c>
      <c r="AD1182">
        <v>0</v>
      </c>
      <c r="AE1182">
        <v>10</v>
      </c>
      <c r="AF1182" t="s">
        <v>126</v>
      </c>
      <c r="AG1182">
        <v>0</v>
      </c>
      <c r="AH1182">
        <v>0</v>
      </c>
      <c r="AI1182">
        <v>2</v>
      </c>
      <c r="AJ1182">
        <v>0</v>
      </c>
      <c r="AK1182" t="s">
        <v>677</v>
      </c>
      <c r="AL1182">
        <v>31.923286999999998</v>
      </c>
      <c r="AM1182" t="s">
        <v>672</v>
      </c>
      <c r="AN1182">
        <v>-100.96924799999999</v>
      </c>
      <c r="AQ1182" t="s">
        <v>129</v>
      </c>
      <c r="AR1182">
        <v>0</v>
      </c>
      <c r="AS1182">
        <v>3</v>
      </c>
      <c r="AT1182">
        <v>-128</v>
      </c>
      <c r="BB1182" t="str">
        <f t="shared" si="132"/>
        <v>1200</v>
      </c>
      <c r="BC1182">
        <v>1</v>
      </c>
      <c r="BD1182" t="str">
        <f t="shared" si="135"/>
        <v xml:space="preserve">N745MB  </v>
      </c>
      <c r="BE1182">
        <v>1</v>
      </c>
      <c r="BG1182">
        <v>0</v>
      </c>
      <c r="BH1182">
        <v>0</v>
      </c>
      <c r="BI1182">
        <v>0</v>
      </c>
      <c r="BL1182" t="s">
        <v>130</v>
      </c>
      <c r="BM1182">
        <v>1</v>
      </c>
      <c r="BN1182">
        <v>0</v>
      </c>
      <c r="BO1182">
        <v>0</v>
      </c>
      <c r="BP1182">
        <v>0</v>
      </c>
      <c r="BT1182">
        <v>0</v>
      </c>
      <c r="BU1182">
        <v>0</v>
      </c>
      <c r="CE1182" t="str">
        <f>"20:28:03.992"</f>
        <v>20:28:03.992</v>
      </c>
      <c r="CF1182">
        <v>991921887</v>
      </c>
      <c r="CS1182">
        <v>0</v>
      </c>
      <c r="CT1182">
        <v>2</v>
      </c>
      <c r="CU1182">
        <v>0</v>
      </c>
      <c r="CV1182">
        <v>2</v>
      </c>
      <c r="CW1182">
        <v>0</v>
      </c>
      <c r="CX1182">
        <v>5</v>
      </c>
      <c r="CY1182">
        <v>7</v>
      </c>
      <c r="CZ1182" t="s">
        <v>131</v>
      </c>
      <c r="DA1182">
        <v>116</v>
      </c>
      <c r="DB1182">
        <v>0</v>
      </c>
      <c r="DC1182" t="s">
        <v>132</v>
      </c>
      <c r="DD1182" t="s">
        <v>133</v>
      </c>
      <c r="DG1182">
        <v>14774555</v>
      </c>
      <c r="DI1182">
        <v>0</v>
      </c>
      <c r="DJ1182">
        <v>1</v>
      </c>
      <c r="DK1182">
        <v>1</v>
      </c>
      <c r="DL1182">
        <v>0</v>
      </c>
      <c r="DM1182">
        <v>0</v>
      </c>
      <c r="DN1182">
        <v>0</v>
      </c>
      <c r="DO1182">
        <v>0</v>
      </c>
      <c r="DP1182">
        <v>1</v>
      </c>
      <c r="DQ1182">
        <v>0</v>
      </c>
      <c r="DR1182">
        <v>0</v>
      </c>
      <c r="DS1182">
        <v>1</v>
      </c>
    </row>
    <row r="1183" spans="1:123" x14ac:dyDescent="0.25">
      <c r="A1183" t="str">
        <f>"11/29/2023 20:28:04.524"</f>
        <v>11/29/2023 20:28:04.524</v>
      </c>
      <c r="C1183" t="str">
        <f t="shared" si="134"/>
        <v>FFDF53C0</v>
      </c>
      <c r="D1183" t="s">
        <v>138</v>
      </c>
      <c r="E1183">
        <v>3</v>
      </c>
      <c r="H1183">
        <v>160</v>
      </c>
      <c r="I1183" t="s">
        <v>124</v>
      </c>
      <c r="J1183" t="s">
        <v>139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>"20:28:03.984"</f>
        <v>20:28:03.984</v>
      </c>
      <c r="T1183" t="str">
        <f>"20:28:03.684"</f>
        <v>20:28:03.684</v>
      </c>
      <c r="U1183" t="str">
        <f t="shared" si="131"/>
        <v>AA0632</v>
      </c>
      <c r="V1183">
        <v>0</v>
      </c>
      <c r="W1183">
        <v>0</v>
      </c>
      <c r="X1183">
        <v>2</v>
      </c>
      <c r="Y1183">
        <v>0</v>
      </c>
      <c r="AA1183">
        <v>0</v>
      </c>
      <c r="AB1183">
        <v>9</v>
      </c>
      <c r="AC1183">
        <v>3</v>
      </c>
      <c r="AD1183">
        <v>0</v>
      </c>
      <c r="AE1183">
        <v>10</v>
      </c>
      <c r="AF1183" t="s">
        <v>126</v>
      </c>
      <c r="AG1183">
        <v>0</v>
      </c>
      <c r="AH1183">
        <v>0</v>
      </c>
      <c r="AI1183">
        <v>2</v>
      </c>
      <c r="AJ1183">
        <v>0</v>
      </c>
      <c r="AK1183" t="s">
        <v>677</v>
      </c>
      <c r="AL1183">
        <v>31.923286999999998</v>
      </c>
      <c r="AM1183" t="s">
        <v>672</v>
      </c>
      <c r="AN1183">
        <v>-100.96924799999999</v>
      </c>
      <c r="AQ1183" t="s">
        <v>129</v>
      </c>
      <c r="AR1183">
        <v>0</v>
      </c>
      <c r="AS1183">
        <v>3</v>
      </c>
      <c r="AT1183">
        <v>-128</v>
      </c>
      <c r="BB1183" t="str">
        <f t="shared" si="132"/>
        <v>1200</v>
      </c>
      <c r="BC1183">
        <v>1</v>
      </c>
      <c r="BD1183" t="str">
        <f t="shared" si="135"/>
        <v xml:space="preserve">N745MB  </v>
      </c>
      <c r="BE1183">
        <v>1</v>
      </c>
      <c r="BG1183">
        <v>0</v>
      </c>
      <c r="BH1183">
        <v>0</v>
      </c>
      <c r="BI1183">
        <v>0</v>
      </c>
      <c r="BL1183" t="s">
        <v>130</v>
      </c>
      <c r="BM1183">
        <v>1</v>
      </c>
      <c r="BN1183">
        <v>0</v>
      </c>
      <c r="BO1183">
        <v>0</v>
      </c>
      <c r="BP1183">
        <v>0</v>
      </c>
      <c r="BT1183">
        <v>0</v>
      </c>
      <c r="BU1183">
        <v>0</v>
      </c>
      <c r="CE1183" t="str">
        <f>"20:28:03.992"</f>
        <v>20:28:03.992</v>
      </c>
      <c r="CF1183">
        <v>991921887</v>
      </c>
      <c r="CS1183">
        <v>0</v>
      </c>
      <c r="CT1183">
        <v>2</v>
      </c>
      <c r="CU1183">
        <v>0</v>
      </c>
      <c r="CV1183">
        <v>2</v>
      </c>
      <c r="CW1183">
        <v>0</v>
      </c>
      <c r="CX1183">
        <v>5</v>
      </c>
      <c r="CY1183">
        <v>7</v>
      </c>
      <c r="CZ1183" t="s">
        <v>131</v>
      </c>
      <c r="DA1183">
        <v>116</v>
      </c>
      <c r="DB1183">
        <v>0</v>
      </c>
      <c r="DC1183" t="s">
        <v>132</v>
      </c>
      <c r="DD1183" t="s">
        <v>133</v>
      </c>
      <c r="DG1183">
        <v>14774555</v>
      </c>
      <c r="DI1183">
        <v>0</v>
      </c>
      <c r="DJ1183">
        <v>1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1</v>
      </c>
      <c r="DQ1183">
        <v>0</v>
      </c>
      <c r="DR1183">
        <v>0</v>
      </c>
      <c r="DS1183">
        <v>1</v>
      </c>
    </row>
    <row r="1184" spans="1:123" x14ac:dyDescent="0.25">
      <c r="A1184" t="str">
        <f>"11/29/2023 20:28:04.509"</f>
        <v>11/29/2023 20:28:04.509</v>
      </c>
      <c r="C1184" t="str">
        <f t="shared" si="134"/>
        <v>FFDF53C0</v>
      </c>
      <c r="D1184" t="s">
        <v>123</v>
      </c>
      <c r="E1184">
        <v>1</v>
      </c>
      <c r="F1184">
        <v>1001</v>
      </c>
      <c r="G1184" t="s">
        <v>134</v>
      </c>
      <c r="J1184" t="s">
        <v>125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>"20:28:03.984"</f>
        <v>20:28:03.984</v>
      </c>
      <c r="T1184" t="str">
        <f>"20:28:03.684"</f>
        <v>20:28:03.684</v>
      </c>
      <c r="U1184" t="str">
        <f t="shared" si="131"/>
        <v>AA0632</v>
      </c>
      <c r="V1184">
        <v>0</v>
      </c>
      <c r="W1184">
        <v>0</v>
      </c>
      <c r="X1184">
        <v>2</v>
      </c>
      <c r="Y1184">
        <v>0</v>
      </c>
      <c r="AA1184">
        <v>0</v>
      </c>
      <c r="AB1184">
        <v>9</v>
      </c>
      <c r="AC1184">
        <v>3</v>
      </c>
      <c r="AD1184">
        <v>0</v>
      </c>
      <c r="AE1184">
        <v>10</v>
      </c>
      <c r="AF1184" t="s">
        <v>126</v>
      </c>
      <c r="AG1184">
        <v>0</v>
      </c>
      <c r="AH1184">
        <v>0</v>
      </c>
      <c r="AI1184">
        <v>2</v>
      </c>
      <c r="AJ1184">
        <v>0</v>
      </c>
      <c r="AK1184" t="s">
        <v>677</v>
      </c>
      <c r="AL1184">
        <v>31.923286999999998</v>
      </c>
      <c r="AM1184" t="s">
        <v>672</v>
      </c>
      <c r="AN1184">
        <v>-100.96924799999999</v>
      </c>
      <c r="AQ1184" t="s">
        <v>129</v>
      </c>
      <c r="AR1184">
        <v>0</v>
      </c>
      <c r="AS1184">
        <v>3</v>
      </c>
      <c r="AT1184">
        <v>-128</v>
      </c>
      <c r="BB1184" t="str">
        <f t="shared" si="132"/>
        <v>1200</v>
      </c>
      <c r="BC1184">
        <v>1</v>
      </c>
      <c r="BD1184" t="str">
        <f t="shared" si="135"/>
        <v xml:space="preserve">N745MB  </v>
      </c>
      <c r="BE1184">
        <v>1</v>
      </c>
      <c r="BG1184">
        <v>0</v>
      </c>
      <c r="BH1184">
        <v>0</v>
      </c>
      <c r="BI1184">
        <v>0</v>
      </c>
      <c r="BL1184" t="s">
        <v>130</v>
      </c>
      <c r="BM1184">
        <v>1</v>
      </c>
      <c r="BN1184">
        <v>0</v>
      </c>
      <c r="BO1184">
        <v>0</v>
      </c>
      <c r="BP1184">
        <v>0</v>
      </c>
      <c r="BT1184">
        <v>0</v>
      </c>
      <c r="BU1184">
        <v>0</v>
      </c>
      <c r="CE1184" t="str">
        <f>"20:28:03.992"</f>
        <v>20:28:03.992</v>
      </c>
      <c r="CF1184">
        <v>991921887</v>
      </c>
      <c r="CS1184">
        <v>0</v>
      </c>
      <c r="CT1184">
        <v>2</v>
      </c>
      <c r="CU1184">
        <v>0</v>
      </c>
      <c r="CV1184">
        <v>2</v>
      </c>
      <c r="CW1184">
        <v>0</v>
      </c>
      <c r="CX1184">
        <v>5</v>
      </c>
      <c r="CY1184">
        <v>7</v>
      </c>
      <c r="CZ1184" t="s">
        <v>131</v>
      </c>
      <c r="DA1184">
        <v>116</v>
      </c>
      <c r="DB1184">
        <v>0</v>
      </c>
      <c r="DC1184" t="s">
        <v>132</v>
      </c>
      <c r="DD1184" t="s">
        <v>133</v>
      </c>
      <c r="DG1184">
        <v>14774555</v>
      </c>
      <c r="DI1184">
        <v>0</v>
      </c>
      <c r="DJ1184">
        <v>1</v>
      </c>
      <c r="DK1184">
        <v>1</v>
      </c>
      <c r="DL1184">
        <v>0</v>
      </c>
      <c r="DM1184">
        <v>0</v>
      </c>
      <c r="DN1184">
        <v>0</v>
      </c>
      <c r="DO1184">
        <v>0</v>
      </c>
      <c r="DP1184">
        <v>1</v>
      </c>
      <c r="DQ1184">
        <v>0</v>
      </c>
      <c r="DR1184">
        <v>0</v>
      </c>
      <c r="DS1184">
        <v>1</v>
      </c>
    </row>
    <row r="1185" spans="1:123" x14ac:dyDescent="0.25">
      <c r="A1185" t="str">
        <f>"11/29/2023 20:28:05.853"</f>
        <v>11/29/2023 20:28:05.853</v>
      </c>
      <c r="C1185" t="str">
        <f t="shared" si="134"/>
        <v>FFDF53C0</v>
      </c>
      <c r="D1185" t="s">
        <v>138</v>
      </c>
      <c r="E1185">
        <v>3</v>
      </c>
      <c r="H1185">
        <v>160</v>
      </c>
      <c r="I1185" t="s">
        <v>124</v>
      </c>
      <c r="J1185" t="s">
        <v>139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>"20:28:05.430"</f>
        <v>20:28:05.430</v>
      </c>
      <c r="T1185" t="str">
        <f>"20:28:05.230"</f>
        <v>20:28:05.230</v>
      </c>
      <c r="U1185" t="str">
        <f t="shared" si="131"/>
        <v>AA0632</v>
      </c>
      <c r="V1185">
        <v>0</v>
      </c>
      <c r="W1185">
        <v>0</v>
      </c>
      <c r="X1185">
        <v>2</v>
      </c>
      <c r="Y1185">
        <v>0</v>
      </c>
      <c r="AA1185">
        <v>0</v>
      </c>
      <c r="AB1185">
        <v>9</v>
      </c>
      <c r="AC1185">
        <v>3</v>
      </c>
      <c r="AD1185">
        <v>0</v>
      </c>
      <c r="AE1185">
        <v>10</v>
      </c>
      <c r="AF1185" t="s">
        <v>126</v>
      </c>
      <c r="AG1185">
        <v>0</v>
      </c>
      <c r="AH1185">
        <v>0</v>
      </c>
      <c r="AI1185">
        <v>2</v>
      </c>
      <c r="AJ1185">
        <v>0</v>
      </c>
      <c r="AK1185" t="s">
        <v>677</v>
      </c>
      <c r="AL1185">
        <v>31.923286999999998</v>
      </c>
      <c r="AM1185" t="s">
        <v>672</v>
      </c>
      <c r="AN1185">
        <v>-100.96924799999999</v>
      </c>
      <c r="AQ1185" t="s">
        <v>129</v>
      </c>
      <c r="AR1185">
        <v>0</v>
      </c>
      <c r="AS1185">
        <v>3</v>
      </c>
      <c r="AT1185">
        <v>-128</v>
      </c>
      <c r="BB1185" t="str">
        <f t="shared" si="132"/>
        <v>1200</v>
      </c>
      <c r="BC1185">
        <v>1</v>
      </c>
      <c r="BD1185" t="str">
        <f t="shared" si="135"/>
        <v xml:space="preserve">N745MB  </v>
      </c>
      <c r="BE1185">
        <v>1</v>
      </c>
      <c r="BG1185">
        <v>0</v>
      </c>
      <c r="BH1185">
        <v>0</v>
      </c>
      <c r="BI1185">
        <v>0</v>
      </c>
      <c r="BL1185" t="s">
        <v>130</v>
      </c>
      <c r="BM1185">
        <v>1</v>
      </c>
      <c r="BN1185">
        <v>0</v>
      </c>
      <c r="BO1185">
        <v>0</v>
      </c>
      <c r="BP1185">
        <v>0</v>
      </c>
      <c r="BT1185">
        <v>0</v>
      </c>
      <c r="BU1185">
        <v>0</v>
      </c>
      <c r="CE1185" t="str">
        <f>"20:28:05.430"</f>
        <v>20:28:05.430</v>
      </c>
      <c r="CF1185">
        <v>429825382</v>
      </c>
      <c r="CS1185">
        <v>0</v>
      </c>
      <c r="CT1185">
        <v>2</v>
      </c>
      <c r="CU1185">
        <v>0</v>
      </c>
      <c r="CV1185">
        <v>2</v>
      </c>
      <c r="CW1185">
        <v>0</v>
      </c>
      <c r="CX1185">
        <v>5</v>
      </c>
      <c r="CY1185">
        <v>7</v>
      </c>
      <c r="CZ1185" t="s">
        <v>131</v>
      </c>
      <c r="DA1185">
        <v>116</v>
      </c>
      <c r="DB1185">
        <v>0</v>
      </c>
      <c r="DC1185" t="s">
        <v>132</v>
      </c>
      <c r="DD1185" t="s">
        <v>133</v>
      </c>
      <c r="DG1185">
        <v>14775640</v>
      </c>
      <c r="DI1185">
        <v>0</v>
      </c>
      <c r="DJ1185">
        <v>1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1</v>
      </c>
      <c r="DQ1185">
        <v>0</v>
      </c>
      <c r="DR1185">
        <v>0</v>
      </c>
      <c r="DS1185">
        <v>1</v>
      </c>
    </row>
    <row r="1186" spans="1:123" x14ac:dyDescent="0.25">
      <c r="A1186" t="str">
        <f>"11/29/2023 20:28:05.853"</f>
        <v>11/29/2023 20:28:05.853</v>
      </c>
      <c r="C1186" t="str">
        <f t="shared" si="134"/>
        <v>FFDF53C0</v>
      </c>
      <c r="D1186" t="s">
        <v>135</v>
      </c>
      <c r="E1186">
        <v>31</v>
      </c>
      <c r="H1186">
        <v>285</v>
      </c>
      <c r="I1186" t="s">
        <v>136</v>
      </c>
      <c r="J1186" t="s">
        <v>137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>"20:28:05.430"</f>
        <v>20:28:05.430</v>
      </c>
      <c r="T1186" t="str">
        <f>"20:28:05.230"</f>
        <v>20:28:05.230</v>
      </c>
      <c r="U1186" t="str">
        <f t="shared" si="131"/>
        <v>AA0632</v>
      </c>
      <c r="V1186">
        <v>0</v>
      </c>
      <c r="W1186">
        <v>0</v>
      </c>
      <c r="X1186">
        <v>2</v>
      </c>
      <c r="Y1186">
        <v>0</v>
      </c>
      <c r="AA1186">
        <v>0</v>
      </c>
      <c r="AB1186">
        <v>9</v>
      </c>
      <c r="AC1186">
        <v>3</v>
      </c>
      <c r="AD1186">
        <v>0</v>
      </c>
      <c r="AE1186">
        <v>10</v>
      </c>
      <c r="AF1186" t="s">
        <v>126</v>
      </c>
      <c r="AG1186">
        <v>0</v>
      </c>
      <c r="AH1186">
        <v>0</v>
      </c>
      <c r="AI1186">
        <v>2</v>
      </c>
      <c r="AJ1186">
        <v>0</v>
      </c>
      <c r="AK1186" t="s">
        <v>677</v>
      </c>
      <c r="AL1186">
        <v>31.923286999999998</v>
      </c>
      <c r="AM1186" t="s">
        <v>672</v>
      </c>
      <c r="AN1186">
        <v>-100.96924799999999</v>
      </c>
      <c r="AQ1186" t="s">
        <v>129</v>
      </c>
      <c r="AR1186">
        <v>0</v>
      </c>
      <c r="AS1186">
        <v>3</v>
      </c>
      <c r="AT1186">
        <v>-128</v>
      </c>
      <c r="BB1186" t="str">
        <f t="shared" si="132"/>
        <v>1200</v>
      </c>
      <c r="BC1186">
        <v>1</v>
      </c>
      <c r="BD1186" t="str">
        <f t="shared" si="135"/>
        <v xml:space="preserve">N745MB  </v>
      </c>
      <c r="BE1186">
        <v>1</v>
      </c>
      <c r="BG1186">
        <v>0</v>
      </c>
      <c r="BH1186">
        <v>0</v>
      </c>
      <c r="BI1186">
        <v>0</v>
      </c>
      <c r="BL1186" t="s">
        <v>130</v>
      </c>
      <c r="BM1186">
        <v>1</v>
      </c>
      <c r="BN1186">
        <v>0</v>
      </c>
      <c r="BO1186">
        <v>0</v>
      </c>
      <c r="BP1186">
        <v>0</v>
      </c>
      <c r="BT1186">
        <v>0</v>
      </c>
      <c r="BU1186">
        <v>0</v>
      </c>
      <c r="CE1186" t="str">
        <f>"20:28:05.430"</f>
        <v>20:28:05.430</v>
      </c>
      <c r="CF1186">
        <v>429825382</v>
      </c>
      <c r="CS1186">
        <v>0</v>
      </c>
      <c r="CT1186">
        <v>2</v>
      </c>
      <c r="CU1186">
        <v>0</v>
      </c>
      <c r="CV1186">
        <v>2</v>
      </c>
      <c r="CW1186">
        <v>0</v>
      </c>
      <c r="CX1186">
        <v>5</v>
      </c>
      <c r="CY1186">
        <v>7</v>
      </c>
      <c r="CZ1186" t="s">
        <v>131</v>
      </c>
      <c r="DA1186">
        <v>116</v>
      </c>
      <c r="DB1186">
        <v>0</v>
      </c>
      <c r="DC1186" t="s">
        <v>132</v>
      </c>
      <c r="DD1186" t="s">
        <v>133</v>
      </c>
      <c r="DG1186">
        <v>14775640</v>
      </c>
      <c r="DI1186">
        <v>0</v>
      </c>
      <c r="DJ1186">
        <v>1</v>
      </c>
      <c r="DK1186">
        <v>1</v>
      </c>
      <c r="DL1186">
        <v>0</v>
      </c>
      <c r="DM1186">
        <v>0</v>
      </c>
      <c r="DN1186">
        <v>0</v>
      </c>
      <c r="DO1186">
        <v>0</v>
      </c>
      <c r="DP1186">
        <v>1</v>
      </c>
      <c r="DQ1186">
        <v>0</v>
      </c>
      <c r="DR1186">
        <v>0</v>
      </c>
      <c r="DS1186">
        <v>1</v>
      </c>
    </row>
    <row r="1187" spans="1:123" x14ac:dyDescent="0.25">
      <c r="A1187" t="str">
        <f>"11/29/2023 20:28:05.853"</f>
        <v>11/29/2023 20:28:05.853</v>
      </c>
      <c r="C1187" t="str">
        <f t="shared" si="134"/>
        <v>FFDF53C0</v>
      </c>
      <c r="D1187" t="s">
        <v>123</v>
      </c>
      <c r="E1187">
        <v>14</v>
      </c>
      <c r="F1187">
        <v>1014</v>
      </c>
      <c r="G1187" t="s">
        <v>124</v>
      </c>
      <c r="J1187" t="s">
        <v>125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>"20:28:05.430"</f>
        <v>20:28:05.430</v>
      </c>
      <c r="T1187" t="str">
        <f>"20:28:05.230"</f>
        <v>20:28:05.230</v>
      </c>
      <c r="U1187" t="str">
        <f t="shared" si="131"/>
        <v>AA0632</v>
      </c>
      <c r="V1187">
        <v>0</v>
      </c>
      <c r="W1187">
        <v>0</v>
      </c>
      <c r="X1187">
        <v>2</v>
      </c>
      <c r="Y1187">
        <v>0</v>
      </c>
      <c r="AA1187">
        <v>0</v>
      </c>
      <c r="AB1187">
        <v>9</v>
      </c>
      <c r="AC1187">
        <v>3</v>
      </c>
      <c r="AD1187">
        <v>0</v>
      </c>
      <c r="AE1187">
        <v>10</v>
      </c>
      <c r="AF1187" t="s">
        <v>126</v>
      </c>
      <c r="AG1187">
        <v>0</v>
      </c>
      <c r="AH1187">
        <v>0</v>
      </c>
      <c r="AI1187">
        <v>2</v>
      </c>
      <c r="AJ1187">
        <v>0</v>
      </c>
      <c r="AK1187" t="s">
        <v>677</v>
      </c>
      <c r="AL1187">
        <v>31.923286999999998</v>
      </c>
      <c r="AM1187" t="s">
        <v>672</v>
      </c>
      <c r="AN1187">
        <v>-100.96924799999999</v>
      </c>
      <c r="AQ1187" t="s">
        <v>129</v>
      </c>
      <c r="AR1187">
        <v>0</v>
      </c>
      <c r="AS1187">
        <v>3</v>
      </c>
      <c r="AT1187">
        <v>-128</v>
      </c>
      <c r="BB1187" t="str">
        <f t="shared" si="132"/>
        <v>1200</v>
      </c>
      <c r="BC1187">
        <v>1</v>
      </c>
      <c r="BD1187" t="str">
        <f t="shared" si="135"/>
        <v xml:space="preserve">N745MB  </v>
      </c>
      <c r="BE1187">
        <v>1</v>
      </c>
      <c r="BG1187">
        <v>0</v>
      </c>
      <c r="BH1187">
        <v>0</v>
      </c>
      <c r="BI1187">
        <v>0</v>
      </c>
      <c r="BL1187" t="s">
        <v>130</v>
      </c>
      <c r="BM1187">
        <v>1</v>
      </c>
      <c r="BN1187">
        <v>0</v>
      </c>
      <c r="BO1187">
        <v>0</v>
      </c>
      <c r="BP1187">
        <v>0</v>
      </c>
      <c r="BT1187">
        <v>0</v>
      </c>
      <c r="BU1187">
        <v>0</v>
      </c>
      <c r="CE1187" t="str">
        <f>"20:28:05.430"</f>
        <v>20:28:05.430</v>
      </c>
      <c r="CF1187">
        <v>429825382</v>
      </c>
      <c r="CS1187">
        <v>0</v>
      </c>
      <c r="CT1187">
        <v>2</v>
      </c>
      <c r="CU1187">
        <v>0</v>
      </c>
      <c r="CV1187">
        <v>2</v>
      </c>
      <c r="CW1187">
        <v>0</v>
      </c>
      <c r="CX1187">
        <v>5</v>
      </c>
      <c r="CY1187">
        <v>7</v>
      </c>
      <c r="CZ1187" t="s">
        <v>131</v>
      </c>
      <c r="DA1187">
        <v>116</v>
      </c>
      <c r="DB1187">
        <v>0</v>
      </c>
      <c r="DC1187" t="s">
        <v>132</v>
      </c>
      <c r="DD1187" t="s">
        <v>133</v>
      </c>
      <c r="DG1187">
        <v>14775640</v>
      </c>
      <c r="DI1187">
        <v>0</v>
      </c>
      <c r="DJ1187">
        <v>1</v>
      </c>
      <c r="DK1187">
        <v>1</v>
      </c>
      <c r="DL1187">
        <v>0</v>
      </c>
      <c r="DM1187">
        <v>0</v>
      </c>
      <c r="DN1187">
        <v>0</v>
      </c>
      <c r="DO1187">
        <v>0</v>
      </c>
      <c r="DP1187">
        <v>1</v>
      </c>
      <c r="DQ1187">
        <v>0</v>
      </c>
      <c r="DR1187">
        <v>0</v>
      </c>
      <c r="DS1187">
        <v>1</v>
      </c>
    </row>
    <row r="1188" spans="1:123" x14ac:dyDescent="0.25">
      <c r="A1188" t="str">
        <f>"11/29/2023 20:28:05.853"</f>
        <v>11/29/2023 20:28:05.853</v>
      </c>
      <c r="C1188" t="str">
        <f t="shared" si="134"/>
        <v>FFDF53C0</v>
      </c>
      <c r="D1188" t="s">
        <v>123</v>
      </c>
      <c r="E1188">
        <v>1</v>
      </c>
      <c r="F1188">
        <v>1001</v>
      </c>
      <c r="G1188" t="s">
        <v>134</v>
      </c>
      <c r="J1188" t="s">
        <v>125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>"20:28:05.430"</f>
        <v>20:28:05.430</v>
      </c>
      <c r="T1188" t="str">
        <f>"20:28:05.230"</f>
        <v>20:28:05.230</v>
      </c>
      <c r="U1188" t="str">
        <f t="shared" si="131"/>
        <v>AA0632</v>
      </c>
      <c r="V1188">
        <v>0</v>
      </c>
      <c r="W1188">
        <v>0</v>
      </c>
      <c r="X1188">
        <v>2</v>
      </c>
      <c r="Y1188">
        <v>0</v>
      </c>
      <c r="AA1188">
        <v>0</v>
      </c>
      <c r="AB1188">
        <v>9</v>
      </c>
      <c r="AC1188">
        <v>3</v>
      </c>
      <c r="AD1188">
        <v>0</v>
      </c>
      <c r="AE1188">
        <v>10</v>
      </c>
      <c r="AF1188" t="s">
        <v>126</v>
      </c>
      <c r="AG1188">
        <v>0</v>
      </c>
      <c r="AH1188">
        <v>0</v>
      </c>
      <c r="AI1188">
        <v>2</v>
      </c>
      <c r="AJ1188">
        <v>0</v>
      </c>
      <c r="AK1188" t="s">
        <v>677</v>
      </c>
      <c r="AL1188">
        <v>31.923286999999998</v>
      </c>
      <c r="AM1188" t="s">
        <v>672</v>
      </c>
      <c r="AN1188">
        <v>-100.96924799999999</v>
      </c>
      <c r="AQ1188" t="s">
        <v>129</v>
      </c>
      <c r="AR1188">
        <v>0</v>
      </c>
      <c r="AS1188">
        <v>3</v>
      </c>
      <c r="AT1188">
        <v>-128</v>
      </c>
      <c r="BB1188" t="str">
        <f t="shared" si="132"/>
        <v>1200</v>
      </c>
      <c r="BC1188">
        <v>1</v>
      </c>
      <c r="BD1188" t="str">
        <f t="shared" si="135"/>
        <v xml:space="preserve">N745MB  </v>
      </c>
      <c r="BE1188">
        <v>1</v>
      </c>
      <c r="BG1188">
        <v>0</v>
      </c>
      <c r="BH1188">
        <v>0</v>
      </c>
      <c r="BI1188">
        <v>0</v>
      </c>
      <c r="BL1188" t="s">
        <v>130</v>
      </c>
      <c r="BM1188">
        <v>1</v>
      </c>
      <c r="BN1188">
        <v>0</v>
      </c>
      <c r="BO1188">
        <v>0</v>
      </c>
      <c r="BP1188">
        <v>0</v>
      </c>
      <c r="BT1188">
        <v>0</v>
      </c>
      <c r="BU1188">
        <v>0</v>
      </c>
      <c r="CE1188" t="str">
        <f>"20:28:05.430"</f>
        <v>20:28:05.430</v>
      </c>
      <c r="CF1188">
        <v>429825382</v>
      </c>
      <c r="CS1188">
        <v>0</v>
      </c>
      <c r="CT1188">
        <v>2</v>
      </c>
      <c r="CU1188">
        <v>0</v>
      </c>
      <c r="CV1188">
        <v>2</v>
      </c>
      <c r="CW1188">
        <v>0</v>
      </c>
      <c r="CX1188">
        <v>5</v>
      </c>
      <c r="CY1188">
        <v>7</v>
      </c>
      <c r="CZ1188" t="s">
        <v>131</v>
      </c>
      <c r="DA1188">
        <v>116</v>
      </c>
      <c r="DB1188">
        <v>0</v>
      </c>
      <c r="DC1188" t="s">
        <v>132</v>
      </c>
      <c r="DD1188" t="s">
        <v>133</v>
      </c>
      <c r="DG1188">
        <v>14775640</v>
      </c>
      <c r="DI1188">
        <v>0</v>
      </c>
      <c r="DJ1188">
        <v>1</v>
      </c>
      <c r="DK1188">
        <v>1</v>
      </c>
      <c r="DL1188">
        <v>0</v>
      </c>
      <c r="DM1188">
        <v>0</v>
      </c>
      <c r="DN1188">
        <v>0</v>
      </c>
      <c r="DO1188">
        <v>0</v>
      </c>
      <c r="DP1188">
        <v>1</v>
      </c>
      <c r="DQ1188">
        <v>0</v>
      </c>
      <c r="DR1188">
        <v>0</v>
      </c>
      <c r="DS1188">
        <v>1</v>
      </c>
    </row>
    <row r="1189" spans="1:123" x14ac:dyDescent="0.25">
      <c r="A1189" t="str">
        <f>"11/29/2023 20:28:07.478"</f>
        <v>11/29/2023 20:28:07.478</v>
      </c>
      <c r="C1189" t="str">
        <f t="shared" si="134"/>
        <v>FFDF53C0</v>
      </c>
      <c r="D1189" t="s">
        <v>138</v>
      </c>
      <c r="E1189">
        <v>3</v>
      </c>
      <c r="H1189">
        <v>160</v>
      </c>
      <c r="I1189" t="s">
        <v>124</v>
      </c>
      <c r="J1189" t="s">
        <v>139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>"20:28:06.930"</f>
        <v>20:28:06.930</v>
      </c>
      <c r="T1189" t="str">
        <f>"20:28:06.730"</f>
        <v>20:28:06.730</v>
      </c>
      <c r="U1189" t="str">
        <f t="shared" si="131"/>
        <v>AA0632</v>
      </c>
      <c r="V1189">
        <v>0</v>
      </c>
      <c r="W1189">
        <v>0</v>
      </c>
      <c r="X1189">
        <v>2</v>
      </c>
      <c r="Y1189">
        <v>0</v>
      </c>
      <c r="AA1189">
        <v>0</v>
      </c>
      <c r="AB1189">
        <v>9</v>
      </c>
      <c r="AC1189">
        <v>3</v>
      </c>
      <c r="AD1189">
        <v>0</v>
      </c>
      <c r="AE1189">
        <v>10</v>
      </c>
      <c r="AF1189" t="s">
        <v>126</v>
      </c>
      <c r="AG1189">
        <v>0</v>
      </c>
      <c r="AH1189">
        <v>0</v>
      </c>
      <c r="AI1189">
        <v>2</v>
      </c>
      <c r="AJ1189">
        <v>0</v>
      </c>
      <c r="AK1189" t="s">
        <v>507</v>
      </c>
      <c r="AL1189">
        <v>31.92333</v>
      </c>
      <c r="AM1189" t="s">
        <v>674</v>
      </c>
      <c r="AN1189">
        <v>-100.96922600000001</v>
      </c>
      <c r="AQ1189" t="s">
        <v>129</v>
      </c>
      <c r="AR1189">
        <v>-1</v>
      </c>
      <c r="AS1189">
        <v>3</v>
      </c>
      <c r="AT1189">
        <v>-128</v>
      </c>
      <c r="BB1189" t="str">
        <f t="shared" si="132"/>
        <v>1200</v>
      </c>
      <c r="BC1189">
        <v>1</v>
      </c>
      <c r="BD1189" t="str">
        <f t="shared" si="135"/>
        <v xml:space="preserve">N745MB  </v>
      </c>
      <c r="BE1189">
        <v>1</v>
      </c>
      <c r="BG1189">
        <v>0</v>
      </c>
      <c r="BH1189">
        <v>0</v>
      </c>
      <c r="BI1189">
        <v>0</v>
      </c>
      <c r="BL1189" t="s">
        <v>130</v>
      </c>
      <c r="BM1189">
        <v>1</v>
      </c>
      <c r="BN1189">
        <v>0</v>
      </c>
      <c r="BO1189">
        <v>0</v>
      </c>
      <c r="BP1189">
        <v>0</v>
      </c>
      <c r="BT1189">
        <v>0</v>
      </c>
      <c r="BU1189">
        <v>0</v>
      </c>
      <c r="CE1189" t="str">
        <f>"20:28:06.934"</f>
        <v>20:28:06.934</v>
      </c>
      <c r="CF1189">
        <v>933724149</v>
      </c>
      <c r="CS1189">
        <v>0</v>
      </c>
      <c r="CT1189">
        <v>2</v>
      </c>
      <c r="CU1189">
        <v>0</v>
      </c>
      <c r="CV1189">
        <v>2</v>
      </c>
      <c r="CW1189">
        <v>0</v>
      </c>
      <c r="CX1189">
        <v>4</v>
      </c>
      <c r="CY1189">
        <v>7</v>
      </c>
      <c r="CZ1189" t="s">
        <v>131</v>
      </c>
      <c r="DA1189">
        <v>116</v>
      </c>
      <c r="DB1189">
        <v>0</v>
      </c>
      <c r="DC1189" t="s">
        <v>132</v>
      </c>
      <c r="DD1189" t="s">
        <v>133</v>
      </c>
      <c r="DG1189">
        <v>14776880</v>
      </c>
      <c r="DI1189">
        <v>0</v>
      </c>
      <c r="DJ1189">
        <v>1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1</v>
      </c>
      <c r="DQ1189">
        <v>0</v>
      </c>
      <c r="DR1189">
        <v>0</v>
      </c>
      <c r="DS1189">
        <v>1</v>
      </c>
    </row>
    <row r="1190" spans="1:123" x14ac:dyDescent="0.25">
      <c r="A1190" t="str">
        <f>"11/29/2023 20:28:07.478"</f>
        <v>11/29/2023 20:28:07.478</v>
      </c>
      <c r="C1190" t="str">
        <f t="shared" si="134"/>
        <v>FFDF53C0</v>
      </c>
      <c r="D1190" t="s">
        <v>123</v>
      </c>
      <c r="E1190">
        <v>14</v>
      </c>
      <c r="F1190">
        <v>1014</v>
      </c>
      <c r="G1190" t="s">
        <v>124</v>
      </c>
      <c r="J1190" t="s">
        <v>125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>"20:28:06.930"</f>
        <v>20:28:06.930</v>
      </c>
      <c r="T1190" t="str">
        <f>"20:28:06.730"</f>
        <v>20:28:06.730</v>
      </c>
      <c r="U1190" t="str">
        <f t="shared" si="131"/>
        <v>AA0632</v>
      </c>
      <c r="V1190">
        <v>0</v>
      </c>
      <c r="W1190">
        <v>0</v>
      </c>
      <c r="X1190">
        <v>2</v>
      </c>
      <c r="Y1190">
        <v>0</v>
      </c>
      <c r="AA1190">
        <v>0</v>
      </c>
      <c r="AB1190">
        <v>9</v>
      </c>
      <c r="AC1190">
        <v>3</v>
      </c>
      <c r="AD1190">
        <v>0</v>
      </c>
      <c r="AE1190">
        <v>10</v>
      </c>
      <c r="AF1190" t="s">
        <v>126</v>
      </c>
      <c r="AG1190">
        <v>0</v>
      </c>
      <c r="AH1190">
        <v>0</v>
      </c>
      <c r="AI1190">
        <v>2</v>
      </c>
      <c r="AJ1190">
        <v>0</v>
      </c>
      <c r="AK1190" t="s">
        <v>507</v>
      </c>
      <c r="AL1190">
        <v>31.92333</v>
      </c>
      <c r="AM1190" t="s">
        <v>674</v>
      </c>
      <c r="AN1190">
        <v>-100.96922600000001</v>
      </c>
      <c r="AQ1190" t="s">
        <v>129</v>
      </c>
      <c r="AR1190">
        <v>-1</v>
      </c>
      <c r="AS1190">
        <v>3</v>
      </c>
      <c r="AT1190">
        <v>-128</v>
      </c>
      <c r="BB1190" t="str">
        <f t="shared" si="132"/>
        <v>1200</v>
      </c>
      <c r="BC1190">
        <v>1</v>
      </c>
      <c r="BD1190" t="str">
        <f t="shared" si="135"/>
        <v xml:space="preserve">N745MB  </v>
      </c>
      <c r="BE1190">
        <v>1</v>
      </c>
      <c r="BG1190">
        <v>0</v>
      </c>
      <c r="BH1190">
        <v>0</v>
      </c>
      <c r="BI1190">
        <v>0</v>
      </c>
      <c r="BL1190" t="s">
        <v>130</v>
      </c>
      <c r="BM1190">
        <v>1</v>
      </c>
      <c r="BN1190">
        <v>0</v>
      </c>
      <c r="BO1190">
        <v>0</v>
      </c>
      <c r="BP1190">
        <v>0</v>
      </c>
      <c r="BT1190">
        <v>0</v>
      </c>
      <c r="BU1190">
        <v>0</v>
      </c>
      <c r="CE1190" t="str">
        <f>"20:28:06.934"</f>
        <v>20:28:06.934</v>
      </c>
      <c r="CF1190">
        <v>933724149</v>
      </c>
      <c r="CS1190">
        <v>0</v>
      </c>
      <c r="CT1190">
        <v>2</v>
      </c>
      <c r="CU1190">
        <v>0</v>
      </c>
      <c r="CV1190">
        <v>2</v>
      </c>
      <c r="CW1190">
        <v>0</v>
      </c>
      <c r="CX1190">
        <v>4</v>
      </c>
      <c r="CY1190">
        <v>7</v>
      </c>
      <c r="CZ1190" t="s">
        <v>131</v>
      </c>
      <c r="DA1190">
        <v>116</v>
      </c>
      <c r="DB1190">
        <v>0</v>
      </c>
      <c r="DC1190" t="s">
        <v>132</v>
      </c>
      <c r="DD1190" t="s">
        <v>133</v>
      </c>
      <c r="DG1190">
        <v>14776880</v>
      </c>
      <c r="DI1190">
        <v>0</v>
      </c>
      <c r="DJ1190">
        <v>1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1</v>
      </c>
      <c r="DQ1190">
        <v>0</v>
      </c>
      <c r="DR1190">
        <v>0</v>
      </c>
      <c r="DS1190">
        <v>1</v>
      </c>
    </row>
    <row r="1191" spans="1:123" x14ac:dyDescent="0.25">
      <c r="A1191" t="str">
        <f>"11/29/2023 20:28:07.478"</f>
        <v>11/29/2023 20:28:07.478</v>
      </c>
      <c r="C1191" t="str">
        <f t="shared" si="134"/>
        <v>FFDF53C0</v>
      </c>
      <c r="D1191" t="s">
        <v>135</v>
      </c>
      <c r="E1191">
        <v>31</v>
      </c>
      <c r="H1191">
        <v>285</v>
      </c>
      <c r="I1191" t="s">
        <v>136</v>
      </c>
      <c r="J1191" t="s">
        <v>137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>"20:28:06.930"</f>
        <v>20:28:06.930</v>
      </c>
      <c r="T1191" t="str">
        <f>"20:28:06.730"</f>
        <v>20:28:06.730</v>
      </c>
      <c r="U1191" t="str">
        <f t="shared" si="131"/>
        <v>AA0632</v>
      </c>
      <c r="V1191">
        <v>0</v>
      </c>
      <c r="W1191">
        <v>0</v>
      </c>
      <c r="X1191">
        <v>2</v>
      </c>
      <c r="Y1191">
        <v>0</v>
      </c>
      <c r="AA1191">
        <v>0</v>
      </c>
      <c r="AB1191">
        <v>9</v>
      </c>
      <c r="AC1191">
        <v>3</v>
      </c>
      <c r="AD1191">
        <v>0</v>
      </c>
      <c r="AE1191">
        <v>10</v>
      </c>
      <c r="AF1191" t="s">
        <v>126</v>
      </c>
      <c r="AG1191">
        <v>0</v>
      </c>
      <c r="AH1191">
        <v>0</v>
      </c>
      <c r="AI1191">
        <v>2</v>
      </c>
      <c r="AJ1191">
        <v>0</v>
      </c>
      <c r="AK1191" t="s">
        <v>507</v>
      </c>
      <c r="AL1191">
        <v>31.92333</v>
      </c>
      <c r="AM1191" t="s">
        <v>674</v>
      </c>
      <c r="AN1191">
        <v>-100.96922600000001</v>
      </c>
      <c r="AQ1191" t="s">
        <v>129</v>
      </c>
      <c r="AR1191">
        <v>-1</v>
      </c>
      <c r="AS1191">
        <v>3</v>
      </c>
      <c r="AT1191">
        <v>-128</v>
      </c>
      <c r="BB1191" t="str">
        <f t="shared" si="132"/>
        <v>1200</v>
      </c>
      <c r="BC1191">
        <v>1</v>
      </c>
      <c r="BD1191" t="str">
        <f t="shared" si="135"/>
        <v xml:space="preserve">N745MB  </v>
      </c>
      <c r="BE1191">
        <v>1</v>
      </c>
      <c r="BG1191">
        <v>0</v>
      </c>
      <c r="BH1191">
        <v>0</v>
      </c>
      <c r="BI1191">
        <v>0</v>
      </c>
      <c r="BL1191" t="s">
        <v>130</v>
      </c>
      <c r="BM1191">
        <v>1</v>
      </c>
      <c r="BN1191">
        <v>0</v>
      </c>
      <c r="BO1191">
        <v>0</v>
      </c>
      <c r="BP1191">
        <v>0</v>
      </c>
      <c r="BT1191">
        <v>0</v>
      </c>
      <c r="BU1191">
        <v>0</v>
      </c>
      <c r="CE1191" t="str">
        <f>"20:28:06.934"</f>
        <v>20:28:06.934</v>
      </c>
      <c r="CF1191">
        <v>933724149</v>
      </c>
      <c r="CS1191">
        <v>0</v>
      </c>
      <c r="CT1191">
        <v>2</v>
      </c>
      <c r="CU1191">
        <v>0</v>
      </c>
      <c r="CV1191">
        <v>2</v>
      </c>
      <c r="CW1191">
        <v>0</v>
      </c>
      <c r="CX1191">
        <v>4</v>
      </c>
      <c r="CY1191">
        <v>7</v>
      </c>
      <c r="CZ1191" t="s">
        <v>131</v>
      </c>
      <c r="DA1191">
        <v>116</v>
      </c>
      <c r="DB1191">
        <v>0</v>
      </c>
      <c r="DC1191" t="s">
        <v>132</v>
      </c>
      <c r="DD1191" t="s">
        <v>133</v>
      </c>
      <c r="DG1191">
        <v>14776880</v>
      </c>
      <c r="DI1191">
        <v>0</v>
      </c>
      <c r="DJ1191">
        <v>1</v>
      </c>
      <c r="DK1191">
        <v>1</v>
      </c>
      <c r="DL1191">
        <v>0</v>
      </c>
      <c r="DM1191">
        <v>0</v>
      </c>
      <c r="DN1191">
        <v>0</v>
      </c>
      <c r="DO1191">
        <v>0</v>
      </c>
      <c r="DP1191">
        <v>1</v>
      </c>
      <c r="DQ1191">
        <v>0</v>
      </c>
      <c r="DR1191">
        <v>0</v>
      </c>
      <c r="DS1191">
        <v>1</v>
      </c>
    </row>
    <row r="1192" spans="1:123" x14ac:dyDescent="0.25">
      <c r="A1192" t="str">
        <f>"11/29/2023 20:28:07.478"</f>
        <v>11/29/2023 20:28:07.478</v>
      </c>
      <c r="C1192" t="str">
        <f t="shared" si="134"/>
        <v>FFDF53C0</v>
      </c>
      <c r="D1192" t="s">
        <v>123</v>
      </c>
      <c r="E1192">
        <v>1</v>
      </c>
      <c r="F1192">
        <v>1001</v>
      </c>
      <c r="G1192" t="s">
        <v>134</v>
      </c>
      <c r="J1192" t="s">
        <v>125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>"20:28:06.930"</f>
        <v>20:28:06.930</v>
      </c>
      <c r="T1192" t="str">
        <f>"20:28:06.730"</f>
        <v>20:28:06.730</v>
      </c>
      <c r="U1192" t="str">
        <f t="shared" si="131"/>
        <v>AA0632</v>
      </c>
      <c r="V1192">
        <v>0</v>
      </c>
      <c r="W1192">
        <v>0</v>
      </c>
      <c r="X1192">
        <v>2</v>
      </c>
      <c r="Y1192">
        <v>0</v>
      </c>
      <c r="AA1192">
        <v>0</v>
      </c>
      <c r="AB1192">
        <v>9</v>
      </c>
      <c r="AC1192">
        <v>3</v>
      </c>
      <c r="AD1192">
        <v>0</v>
      </c>
      <c r="AE1192">
        <v>10</v>
      </c>
      <c r="AF1192" t="s">
        <v>126</v>
      </c>
      <c r="AG1192">
        <v>0</v>
      </c>
      <c r="AH1192">
        <v>0</v>
      </c>
      <c r="AI1192">
        <v>2</v>
      </c>
      <c r="AJ1192">
        <v>0</v>
      </c>
      <c r="AK1192" t="s">
        <v>507</v>
      </c>
      <c r="AL1192">
        <v>31.92333</v>
      </c>
      <c r="AM1192" t="s">
        <v>674</v>
      </c>
      <c r="AN1192">
        <v>-100.96922600000001</v>
      </c>
      <c r="AQ1192" t="s">
        <v>129</v>
      </c>
      <c r="AR1192">
        <v>-1</v>
      </c>
      <c r="AS1192">
        <v>3</v>
      </c>
      <c r="AT1192">
        <v>-128</v>
      </c>
      <c r="BB1192" t="str">
        <f t="shared" si="132"/>
        <v>1200</v>
      </c>
      <c r="BC1192">
        <v>1</v>
      </c>
      <c r="BD1192" t="str">
        <f t="shared" si="135"/>
        <v xml:space="preserve">N745MB  </v>
      </c>
      <c r="BE1192">
        <v>1</v>
      </c>
      <c r="BG1192">
        <v>0</v>
      </c>
      <c r="BH1192">
        <v>0</v>
      </c>
      <c r="BI1192">
        <v>0</v>
      </c>
      <c r="BL1192" t="s">
        <v>130</v>
      </c>
      <c r="BM1192">
        <v>1</v>
      </c>
      <c r="BN1192">
        <v>0</v>
      </c>
      <c r="BO1192">
        <v>0</v>
      </c>
      <c r="BP1192">
        <v>0</v>
      </c>
      <c r="BT1192">
        <v>0</v>
      </c>
      <c r="BU1192">
        <v>0</v>
      </c>
      <c r="CE1192" t="str">
        <f>"20:28:06.934"</f>
        <v>20:28:06.934</v>
      </c>
      <c r="CF1192">
        <v>933724149</v>
      </c>
      <c r="CS1192">
        <v>0</v>
      </c>
      <c r="CT1192">
        <v>2</v>
      </c>
      <c r="CU1192">
        <v>0</v>
      </c>
      <c r="CV1192">
        <v>2</v>
      </c>
      <c r="CW1192">
        <v>0</v>
      </c>
      <c r="CX1192">
        <v>4</v>
      </c>
      <c r="CY1192">
        <v>7</v>
      </c>
      <c r="CZ1192" t="s">
        <v>131</v>
      </c>
      <c r="DA1192">
        <v>116</v>
      </c>
      <c r="DB1192">
        <v>0</v>
      </c>
      <c r="DC1192" t="s">
        <v>132</v>
      </c>
      <c r="DD1192" t="s">
        <v>133</v>
      </c>
      <c r="DG1192">
        <v>14776880</v>
      </c>
      <c r="DI1192">
        <v>0</v>
      </c>
      <c r="DJ1192">
        <v>1</v>
      </c>
      <c r="DK1192">
        <v>1</v>
      </c>
      <c r="DL1192">
        <v>0</v>
      </c>
      <c r="DM1192">
        <v>0</v>
      </c>
      <c r="DN1192">
        <v>0</v>
      </c>
      <c r="DO1192">
        <v>0</v>
      </c>
      <c r="DP1192">
        <v>1</v>
      </c>
      <c r="DQ1192">
        <v>0</v>
      </c>
      <c r="DR1192">
        <v>0</v>
      </c>
      <c r="DS1192">
        <v>1</v>
      </c>
    </row>
    <row r="1193" spans="1:123" x14ac:dyDescent="0.25">
      <c r="A1193" t="str">
        <f>"11/29/2023 20:28:08.790"</f>
        <v>11/29/2023 20:28:08.790</v>
      </c>
      <c r="C1193" t="str">
        <f t="shared" si="134"/>
        <v>FFDF53C0</v>
      </c>
      <c r="D1193" t="s">
        <v>138</v>
      </c>
      <c r="E1193">
        <v>3</v>
      </c>
      <c r="H1193">
        <v>160</v>
      </c>
      <c r="I1193" t="s">
        <v>124</v>
      </c>
      <c r="J1193" t="s">
        <v>139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>"20:28:08.422"</f>
        <v>20:28:08.422</v>
      </c>
      <c r="T1193" t="str">
        <f>"20:28:08.222"</f>
        <v>20:28:08.222</v>
      </c>
      <c r="U1193" t="str">
        <f t="shared" si="131"/>
        <v>AA0632</v>
      </c>
      <c r="V1193">
        <v>0</v>
      </c>
      <c r="W1193">
        <v>0</v>
      </c>
      <c r="X1193">
        <v>2</v>
      </c>
      <c r="Y1193">
        <v>0</v>
      </c>
      <c r="AA1193">
        <v>0</v>
      </c>
      <c r="AB1193">
        <v>9</v>
      </c>
      <c r="AC1193">
        <v>3</v>
      </c>
      <c r="AD1193">
        <v>0</v>
      </c>
      <c r="AE1193">
        <v>10</v>
      </c>
      <c r="AF1193" t="s">
        <v>126</v>
      </c>
      <c r="AG1193">
        <v>0</v>
      </c>
      <c r="AH1193">
        <v>0</v>
      </c>
      <c r="AI1193">
        <v>2</v>
      </c>
      <c r="AJ1193">
        <v>0</v>
      </c>
      <c r="AK1193" t="s">
        <v>507</v>
      </c>
      <c r="AL1193">
        <v>31.92333</v>
      </c>
      <c r="AM1193" t="s">
        <v>672</v>
      </c>
      <c r="AN1193">
        <v>-100.96924799999999</v>
      </c>
      <c r="AQ1193" t="s">
        <v>129</v>
      </c>
      <c r="AR1193">
        <v>0</v>
      </c>
      <c r="AS1193">
        <v>3</v>
      </c>
      <c r="AT1193">
        <v>-128</v>
      </c>
      <c r="BB1193" t="str">
        <f t="shared" si="132"/>
        <v>1200</v>
      </c>
      <c r="BC1193">
        <v>1</v>
      </c>
      <c r="BD1193" t="str">
        <f t="shared" si="135"/>
        <v xml:space="preserve">N745MB  </v>
      </c>
      <c r="BE1193">
        <v>1</v>
      </c>
      <c r="BG1193">
        <v>0</v>
      </c>
      <c r="BH1193">
        <v>0</v>
      </c>
      <c r="BI1193">
        <v>0</v>
      </c>
      <c r="BL1193" t="s">
        <v>130</v>
      </c>
      <c r="BM1193">
        <v>1</v>
      </c>
      <c r="BN1193">
        <v>0</v>
      </c>
      <c r="BO1193">
        <v>0</v>
      </c>
      <c r="BP1193">
        <v>0</v>
      </c>
      <c r="BT1193">
        <v>0</v>
      </c>
      <c r="BU1193">
        <v>0</v>
      </c>
      <c r="CE1193" t="str">
        <f>"20:28:08.424"</f>
        <v>20:28:08.424</v>
      </c>
      <c r="CF1193">
        <v>423624154</v>
      </c>
      <c r="CS1193">
        <v>0</v>
      </c>
      <c r="CT1193">
        <v>2</v>
      </c>
      <c r="CU1193">
        <v>0</v>
      </c>
      <c r="CV1193">
        <v>2</v>
      </c>
      <c r="CW1193">
        <v>0</v>
      </c>
      <c r="CX1193">
        <v>5</v>
      </c>
      <c r="CY1193">
        <v>7</v>
      </c>
      <c r="CZ1193" t="s">
        <v>131</v>
      </c>
      <c r="DA1193">
        <v>116</v>
      </c>
      <c r="DB1193">
        <v>0</v>
      </c>
      <c r="DC1193" t="s">
        <v>132</v>
      </c>
      <c r="DD1193" t="s">
        <v>133</v>
      </c>
      <c r="DG1193">
        <v>14778051</v>
      </c>
      <c r="DI1193">
        <v>0</v>
      </c>
      <c r="DJ1193">
        <v>1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1</v>
      </c>
      <c r="DQ1193">
        <v>0</v>
      </c>
      <c r="DR1193">
        <v>0</v>
      </c>
      <c r="DS1193">
        <v>1</v>
      </c>
    </row>
    <row r="1194" spans="1:123" x14ac:dyDescent="0.25">
      <c r="A1194" t="str">
        <f>"11/29/2023 20:28:08.790"</f>
        <v>11/29/2023 20:28:08.790</v>
      </c>
      <c r="C1194" t="str">
        <f t="shared" si="134"/>
        <v>FFDF53C0</v>
      </c>
      <c r="D1194" t="s">
        <v>123</v>
      </c>
      <c r="E1194">
        <v>14</v>
      </c>
      <c r="F1194">
        <v>1014</v>
      </c>
      <c r="G1194" t="s">
        <v>124</v>
      </c>
      <c r="J1194" t="s">
        <v>125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>"20:28:08.422"</f>
        <v>20:28:08.422</v>
      </c>
      <c r="T1194" t="str">
        <f>"20:28:08.222"</f>
        <v>20:28:08.222</v>
      </c>
      <c r="U1194" t="str">
        <f t="shared" si="131"/>
        <v>AA0632</v>
      </c>
      <c r="V1194">
        <v>0</v>
      </c>
      <c r="W1194">
        <v>0</v>
      </c>
      <c r="X1194">
        <v>2</v>
      </c>
      <c r="Y1194">
        <v>0</v>
      </c>
      <c r="AA1194">
        <v>0</v>
      </c>
      <c r="AB1194">
        <v>9</v>
      </c>
      <c r="AC1194">
        <v>3</v>
      </c>
      <c r="AD1194">
        <v>0</v>
      </c>
      <c r="AE1194">
        <v>10</v>
      </c>
      <c r="AF1194" t="s">
        <v>126</v>
      </c>
      <c r="AG1194">
        <v>0</v>
      </c>
      <c r="AH1194">
        <v>0</v>
      </c>
      <c r="AI1194">
        <v>2</v>
      </c>
      <c r="AJ1194">
        <v>0</v>
      </c>
      <c r="AK1194" t="s">
        <v>507</v>
      </c>
      <c r="AL1194">
        <v>31.92333</v>
      </c>
      <c r="AM1194" t="s">
        <v>672</v>
      </c>
      <c r="AN1194">
        <v>-100.96924799999999</v>
      </c>
      <c r="AQ1194" t="s">
        <v>129</v>
      </c>
      <c r="AR1194">
        <v>0</v>
      </c>
      <c r="AS1194">
        <v>3</v>
      </c>
      <c r="AT1194">
        <v>-128</v>
      </c>
      <c r="BB1194" t="str">
        <f t="shared" si="132"/>
        <v>1200</v>
      </c>
      <c r="BC1194">
        <v>1</v>
      </c>
      <c r="BD1194" t="str">
        <f t="shared" si="135"/>
        <v xml:space="preserve">N745MB  </v>
      </c>
      <c r="BE1194">
        <v>1</v>
      </c>
      <c r="BG1194">
        <v>0</v>
      </c>
      <c r="BH1194">
        <v>0</v>
      </c>
      <c r="BI1194">
        <v>0</v>
      </c>
      <c r="BL1194" t="s">
        <v>130</v>
      </c>
      <c r="BM1194">
        <v>1</v>
      </c>
      <c r="BN1194">
        <v>0</v>
      </c>
      <c r="BO1194">
        <v>0</v>
      </c>
      <c r="BP1194">
        <v>0</v>
      </c>
      <c r="BT1194">
        <v>0</v>
      </c>
      <c r="BU1194">
        <v>0</v>
      </c>
      <c r="CE1194" t="str">
        <f>"20:28:08.424"</f>
        <v>20:28:08.424</v>
      </c>
      <c r="CF1194">
        <v>423624154</v>
      </c>
      <c r="CS1194">
        <v>0</v>
      </c>
      <c r="CT1194">
        <v>2</v>
      </c>
      <c r="CU1194">
        <v>0</v>
      </c>
      <c r="CV1194">
        <v>2</v>
      </c>
      <c r="CW1194">
        <v>0</v>
      </c>
      <c r="CX1194">
        <v>5</v>
      </c>
      <c r="CY1194">
        <v>7</v>
      </c>
      <c r="CZ1194" t="s">
        <v>131</v>
      </c>
      <c r="DA1194">
        <v>116</v>
      </c>
      <c r="DB1194">
        <v>0</v>
      </c>
      <c r="DC1194" t="s">
        <v>132</v>
      </c>
      <c r="DD1194" t="s">
        <v>133</v>
      </c>
      <c r="DG1194">
        <v>14778051</v>
      </c>
      <c r="DI1194">
        <v>0</v>
      </c>
      <c r="DJ1194">
        <v>1</v>
      </c>
      <c r="DK1194">
        <v>0</v>
      </c>
      <c r="DL1194">
        <v>0</v>
      </c>
      <c r="DM1194">
        <v>0</v>
      </c>
      <c r="DN1194">
        <v>0</v>
      </c>
      <c r="DO1194">
        <v>0</v>
      </c>
      <c r="DP1194">
        <v>1</v>
      </c>
      <c r="DQ1194">
        <v>0</v>
      </c>
      <c r="DR1194">
        <v>0</v>
      </c>
      <c r="DS1194">
        <v>1</v>
      </c>
    </row>
    <row r="1195" spans="1:123" x14ac:dyDescent="0.25">
      <c r="A1195" t="str">
        <f>"11/29/2023 20:28:08.790"</f>
        <v>11/29/2023 20:28:08.790</v>
      </c>
      <c r="C1195" t="str">
        <f t="shared" si="134"/>
        <v>FFDF53C0</v>
      </c>
      <c r="D1195" t="s">
        <v>135</v>
      </c>
      <c r="E1195">
        <v>31</v>
      </c>
      <c r="H1195">
        <v>285</v>
      </c>
      <c r="I1195" t="s">
        <v>136</v>
      </c>
      <c r="J1195" t="s">
        <v>137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>"20:28:08.422"</f>
        <v>20:28:08.422</v>
      </c>
      <c r="T1195" t="str">
        <f>"20:28:08.222"</f>
        <v>20:28:08.222</v>
      </c>
      <c r="U1195" t="str">
        <f t="shared" si="131"/>
        <v>AA0632</v>
      </c>
      <c r="V1195">
        <v>0</v>
      </c>
      <c r="W1195">
        <v>0</v>
      </c>
      <c r="X1195">
        <v>2</v>
      </c>
      <c r="Y1195">
        <v>0</v>
      </c>
      <c r="AA1195">
        <v>0</v>
      </c>
      <c r="AB1195">
        <v>9</v>
      </c>
      <c r="AC1195">
        <v>3</v>
      </c>
      <c r="AD1195">
        <v>0</v>
      </c>
      <c r="AE1195">
        <v>10</v>
      </c>
      <c r="AF1195" t="s">
        <v>126</v>
      </c>
      <c r="AG1195">
        <v>0</v>
      </c>
      <c r="AH1195">
        <v>0</v>
      </c>
      <c r="AI1195">
        <v>2</v>
      </c>
      <c r="AJ1195">
        <v>0</v>
      </c>
      <c r="AK1195" t="s">
        <v>507</v>
      </c>
      <c r="AL1195">
        <v>31.92333</v>
      </c>
      <c r="AM1195" t="s">
        <v>672</v>
      </c>
      <c r="AN1195">
        <v>-100.96924799999999</v>
      </c>
      <c r="AQ1195" t="s">
        <v>129</v>
      </c>
      <c r="AR1195">
        <v>0</v>
      </c>
      <c r="AS1195">
        <v>3</v>
      </c>
      <c r="AT1195">
        <v>-128</v>
      </c>
      <c r="BB1195" t="str">
        <f t="shared" si="132"/>
        <v>1200</v>
      </c>
      <c r="BC1195">
        <v>1</v>
      </c>
      <c r="BD1195" t="str">
        <f t="shared" si="135"/>
        <v xml:space="preserve">N745MB  </v>
      </c>
      <c r="BE1195">
        <v>1</v>
      </c>
      <c r="BG1195">
        <v>0</v>
      </c>
      <c r="BH1195">
        <v>0</v>
      </c>
      <c r="BI1195">
        <v>0</v>
      </c>
      <c r="BL1195" t="s">
        <v>130</v>
      </c>
      <c r="BM1195">
        <v>1</v>
      </c>
      <c r="BN1195">
        <v>0</v>
      </c>
      <c r="BO1195">
        <v>0</v>
      </c>
      <c r="BP1195">
        <v>0</v>
      </c>
      <c r="BT1195">
        <v>0</v>
      </c>
      <c r="BU1195">
        <v>0</v>
      </c>
      <c r="CE1195" t="str">
        <f>"20:28:08.424"</f>
        <v>20:28:08.424</v>
      </c>
      <c r="CF1195">
        <v>423624154</v>
      </c>
      <c r="CS1195">
        <v>0</v>
      </c>
      <c r="CT1195">
        <v>2</v>
      </c>
      <c r="CU1195">
        <v>0</v>
      </c>
      <c r="CV1195">
        <v>2</v>
      </c>
      <c r="CW1195">
        <v>0</v>
      </c>
      <c r="CX1195">
        <v>5</v>
      </c>
      <c r="CY1195">
        <v>7</v>
      </c>
      <c r="CZ1195" t="s">
        <v>131</v>
      </c>
      <c r="DA1195">
        <v>116</v>
      </c>
      <c r="DB1195">
        <v>0</v>
      </c>
      <c r="DC1195" t="s">
        <v>132</v>
      </c>
      <c r="DD1195" t="s">
        <v>133</v>
      </c>
      <c r="DG1195">
        <v>14778051</v>
      </c>
      <c r="DI1195">
        <v>0</v>
      </c>
      <c r="DJ1195">
        <v>1</v>
      </c>
      <c r="DK1195">
        <v>1</v>
      </c>
      <c r="DL1195">
        <v>0</v>
      </c>
      <c r="DM1195">
        <v>0</v>
      </c>
      <c r="DN1195">
        <v>0</v>
      </c>
      <c r="DO1195">
        <v>0</v>
      </c>
      <c r="DP1195">
        <v>1</v>
      </c>
      <c r="DQ1195">
        <v>0</v>
      </c>
      <c r="DR1195">
        <v>0</v>
      </c>
      <c r="DS1195">
        <v>1</v>
      </c>
    </row>
    <row r="1196" spans="1:123" x14ac:dyDescent="0.25">
      <c r="A1196" t="str">
        <f>"11/29/2023 20:28:08.790"</f>
        <v>11/29/2023 20:28:08.790</v>
      </c>
      <c r="C1196" t="str">
        <f t="shared" si="134"/>
        <v>FFDF53C0</v>
      </c>
      <c r="D1196" t="s">
        <v>123</v>
      </c>
      <c r="E1196">
        <v>1</v>
      </c>
      <c r="F1196">
        <v>1001</v>
      </c>
      <c r="G1196" t="s">
        <v>134</v>
      </c>
      <c r="J1196" t="s">
        <v>125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>"20:28:08.422"</f>
        <v>20:28:08.422</v>
      </c>
      <c r="T1196" t="str">
        <f>"20:28:08.222"</f>
        <v>20:28:08.222</v>
      </c>
      <c r="U1196" t="str">
        <f t="shared" si="131"/>
        <v>AA0632</v>
      </c>
      <c r="V1196">
        <v>0</v>
      </c>
      <c r="W1196">
        <v>0</v>
      </c>
      <c r="X1196">
        <v>2</v>
      </c>
      <c r="Y1196">
        <v>0</v>
      </c>
      <c r="AA1196">
        <v>0</v>
      </c>
      <c r="AB1196">
        <v>9</v>
      </c>
      <c r="AC1196">
        <v>3</v>
      </c>
      <c r="AD1196">
        <v>0</v>
      </c>
      <c r="AE1196">
        <v>10</v>
      </c>
      <c r="AF1196" t="s">
        <v>126</v>
      </c>
      <c r="AG1196">
        <v>0</v>
      </c>
      <c r="AH1196">
        <v>0</v>
      </c>
      <c r="AI1196">
        <v>2</v>
      </c>
      <c r="AJ1196">
        <v>0</v>
      </c>
      <c r="AK1196" t="s">
        <v>507</v>
      </c>
      <c r="AL1196">
        <v>31.92333</v>
      </c>
      <c r="AM1196" t="s">
        <v>672</v>
      </c>
      <c r="AN1196">
        <v>-100.96924799999999</v>
      </c>
      <c r="AQ1196" t="s">
        <v>129</v>
      </c>
      <c r="AR1196">
        <v>0</v>
      </c>
      <c r="AS1196">
        <v>3</v>
      </c>
      <c r="AT1196">
        <v>-128</v>
      </c>
      <c r="BB1196" t="str">
        <f t="shared" si="132"/>
        <v>1200</v>
      </c>
      <c r="BC1196">
        <v>1</v>
      </c>
      <c r="BD1196" t="str">
        <f t="shared" si="135"/>
        <v xml:space="preserve">N745MB  </v>
      </c>
      <c r="BE1196">
        <v>1</v>
      </c>
      <c r="BG1196">
        <v>0</v>
      </c>
      <c r="BH1196">
        <v>0</v>
      </c>
      <c r="BI1196">
        <v>0</v>
      </c>
      <c r="BL1196" t="s">
        <v>130</v>
      </c>
      <c r="BM1196">
        <v>1</v>
      </c>
      <c r="BN1196">
        <v>0</v>
      </c>
      <c r="BO1196">
        <v>0</v>
      </c>
      <c r="BP1196">
        <v>0</v>
      </c>
      <c r="BT1196">
        <v>0</v>
      </c>
      <c r="BU1196">
        <v>0</v>
      </c>
      <c r="CE1196" t="str">
        <f>"20:28:08.424"</f>
        <v>20:28:08.424</v>
      </c>
      <c r="CF1196">
        <v>423624154</v>
      </c>
      <c r="CS1196">
        <v>0</v>
      </c>
      <c r="CT1196">
        <v>2</v>
      </c>
      <c r="CU1196">
        <v>0</v>
      </c>
      <c r="CV1196">
        <v>2</v>
      </c>
      <c r="CW1196">
        <v>0</v>
      </c>
      <c r="CX1196">
        <v>5</v>
      </c>
      <c r="CY1196">
        <v>7</v>
      </c>
      <c r="CZ1196" t="s">
        <v>131</v>
      </c>
      <c r="DA1196">
        <v>116</v>
      </c>
      <c r="DB1196">
        <v>0</v>
      </c>
      <c r="DC1196" t="s">
        <v>132</v>
      </c>
      <c r="DD1196" t="s">
        <v>133</v>
      </c>
      <c r="DG1196">
        <v>14778051</v>
      </c>
      <c r="DI1196">
        <v>0</v>
      </c>
      <c r="DJ1196">
        <v>1</v>
      </c>
      <c r="DK1196">
        <v>1</v>
      </c>
      <c r="DL1196">
        <v>0</v>
      </c>
      <c r="DM1196">
        <v>0</v>
      </c>
      <c r="DN1196">
        <v>0</v>
      </c>
      <c r="DO1196">
        <v>0</v>
      </c>
      <c r="DP1196">
        <v>1</v>
      </c>
      <c r="DQ1196">
        <v>0</v>
      </c>
      <c r="DR1196">
        <v>0</v>
      </c>
      <c r="DS1196">
        <v>1</v>
      </c>
    </row>
    <row r="1197" spans="1:123" x14ac:dyDescent="0.25">
      <c r="A1197" t="str">
        <f>"11/29/2023 20:28:11.087"</f>
        <v>11/29/2023 20:28:11.087</v>
      </c>
      <c r="C1197" t="str">
        <f t="shared" si="134"/>
        <v>FFDF53C0</v>
      </c>
      <c r="D1197" t="s">
        <v>135</v>
      </c>
      <c r="E1197">
        <v>31</v>
      </c>
      <c r="H1197">
        <v>285</v>
      </c>
      <c r="I1197" t="s">
        <v>136</v>
      </c>
      <c r="J1197" t="s">
        <v>137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>"20:28:10.547"</f>
        <v>20:28:10.547</v>
      </c>
      <c r="T1197" t="str">
        <f>"20:28:10.247"</f>
        <v>20:28:10.247</v>
      </c>
      <c r="U1197" t="str">
        <f t="shared" si="131"/>
        <v>AA0632</v>
      </c>
      <c r="V1197">
        <v>0</v>
      </c>
      <c r="W1197">
        <v>0</v>
      </c>
      <c r="X1197">
        <v>2</v>
      </c>
      <c r="Y1197">
        <v>0</v>
      </c>
      <c r="AA1197">
        <v>0</v>
      </c>
      <c r="AB1197">
        <v>9</v>
      </c>
      <c r="AC1197">
        <v>3</v>
      </c>
      <c r="AD1197">
        <v>0</v>
      </c>
      <c r="AE1197">
        <v>10</v>
      </c>
      <c r="AF1197" t="s">
        <v>126</v>
      </c>
      <c r="AG1197">
        <v>0</v>
      </c>
      <c r="AH1197">
        <v>0</v>
      </c>
      <c r="AI1197">
        <v>2</v>
      </c>
      <c r="AJ1197">
        <v>0</v>
      </c>
      <c r="AK1197" t="s">
        <v>678</v>
      </c>
      <c r="AL1197">
        <v>31.923373000000002</v>
      </c>
      <c r="AM1197" t="s">
        <v>674</v>
      </c>
      <c r="AN1197">
        <v>-100.96922600000001</v>
      </c>
      <c r="AQ1197" t="s">
        <v>129</v>
      </c>
      <c r="AR1197">
        <v>0</v>
      </c>
      <c r="AS1197">
        <v>2</v>
      </c>
      <c r="AT1197">
        <v>-128</v>
      </c>
      <c r="BB1197" t="str">
        <f t="shared" si="132"/>
        <v>1200</v>
      </c>
      <c r="BC1197">
        <v>1</v>
      </c>
      <c r="BD1197" t="str">
        <f t="shared" si="135"/>
        <v xml:space="preserve">N745MB  </v>
      </c>
      <c r="BE1197">
        <v>1</v>
      </c>
      <c r="BG1197">
        <v>0</v>
      </c>
      <c r="BH1197">
        <v>0</v>
      </c>
      <c r="BI1197">
        <v>0</v>
      </c>
      <c r="BL1197" t="s">
        <v>130</v>
      </c>
      <c r="BM1197">
        <v>1</v>
      </c>
      <c r="BN1197">
        <v>0</v>
      </c>
      <c r="BO1197">
        <v>0</v>
      </c>
      <c r="BP1197">
        <v>0</v>
      </c>
      <c r="BT1197">
        <v>0</v>
      </c>
      <c r="BU1197">
        <v>0</v>
      </c>
      <c r="CE1197" t="str">
        <f>"20:28:10.553"</f>
        <v>20:28:10.553</v>
      </c>
      <c r="CF1197">
        <v>553480987</v>
      </c>
      <c r="CS1197">
        <v>0</v>
      </c>
      <c r="CT1197">
        <v>2</v>
      </c>
      <c r="CU1197">
        <v>0</v>
      </c>
      <c r="CV1197">
        <v>2</v>
      </c>
      <c r="CW1197">
        <v>0</v>
      </c>
      <c r="CX1197">
        <v>4</v>
      </c>
      <c r="CY1197">
        <v>7</v>
      </c>
      <c r="CZ1197" t="s">
        <v>131</v>
      </c>
      <c r="DA1197">
        <v>116</v>
      </c>
      <c r="DB1197">
        <v>0</v>
      </c>
      <c r="DC1197" t="s">
        <v>132</v>
      </c>
      <c r="DD1197" t="s">
        <v>133</v>
      </c>
      <c r="DG1197">
        <v>14779726</v>
      </c>
      <c r="DI1197">
        <v>0</v>
      </c>
      <c r="DJ1197">
        <v>1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1</v>
      </c>
      <c r="DQ1197">
        <v>0</v>
      </c>
      <c r="DR1197">
        <v>0</v>
      </c>
      <c r="DS1197">
        <v>1</v>
      </c>
    </row>
    <row r="1198" spans="1:123" x14ac:dyDescent="0.25">
      <c r="A1198" t="str">
        <f>"11/29/2023 20:28:11.071"</f>
        <v>11/29/2023 20:28:11.071</v>
      </c>
      <c r="C1198" t="str">
        <f t="shared" si="134"/>
        <v>FFDF53C0</v>
      </c>
      <c r="D1198" t="s">
        <v>123</v>
      </c>
      <c r="E1198">
        <v>14</v>
      </c>
      <c r="F1198">
        <v>1014</v>
      </c>
      <c r="G1198" t="s">
        <v>124</v>
      </c>
      <c r="J1198" t="s">
        <v>125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>"20:28:10.547"</f>
        <v>20:28:10.547</v>
      </c>
      <c r="T1198" t="str">
        <f>"20:28:10.247"</f>
        <v>20:28:10.247</v>
      </c>
      <c r="U1198" t="str">
        <f t="shared" si="131"/>
        <v>AA0632</v>
      </c>
      <c r="V1198">
        <v>0</v>
      </c>
      <c r="W1198">
        <v>0</v>
      </c>
      <c r="X1198">
        <v>2</v>
      </c>
      <c r="Y1198">
        <v>0</v>
      </c>
      <c r="AA1198">
        <v>0</v>
      </c>
      <c r="AB1198">
        <v>9</v>
      </c>
      <c r="AC1198">
        <v>3</v>
      </c>
      <c r="AD1198">
        <v>0</v>
      </c>
      <c r="AE1198">
        <v>10</v>
      </c>
      <c r="AF1198" t="s">
        <v>126</v>
      </c>
      <c r="AG1198">
        <v>0</v>
      </c>
      <c r="AH1198">
        <v>0</v>
      </c>
      <c r="AI1198">
        <v>2</v>
      </c>
      <c r="AJ1198">
        <v>0</v>
      </c>
      <c r="AK1198" t="s">
        <v>678</v>
      </c>
      <c r="AL1198">
        <v>31.923373000000002</v>
      </c>
      <c r="AM1198" t="s">
        <v>674</v>
      </c>
      <c r="AN1198">
        <v>-100.96922600000001</v>
      </c>
      <c r="AQ1198" t="s">
        <v>129</v>
      </c>
      <c r="AR1198">
        <v>0</v>
      </c>
      <c r="AS1198">
        <v>2</v>
      </c>
      <c r="AT1198">
        <v>-128</v>
      </c>
      <c r="BB1198" t="str">
        <f t="shared" si="132"/>
        <v>1200</v>
      </c>
      <c r="BC1198">
        <v>1</v>
      </c>
      <c r="BD1198" t="str">
        <f t="shared" si="135"/>
        <v xml:space="preserve">N745MB  </v>
      </c>
      <c r="BE1198">
        <v>1</v>
      </c>
      <c r="BG1198">
        <v>0</v>
      </c>
      <c r="BH1198">
        <v>0</v>
      </c>
      <c r="BI1198">
        <v>0</v>
      </c>
      <c r="BL1198" t="s">
        <v>130</v>
      </c>
      <c r="BM1198">
        <v>1</v>
      </c>
      <c r="BN1198">
        <v>0</v>
      </c>
      <c r="BO1198">
        <v>0</v>
      </c>
      <c r="BP1198">
        <v>0</v>
      </c>
      <c r="BT1198">
        <v>0</v>
      </c>
      <c r="BU1198">
        <v>0</v>
      </c>
      <c r="CE1198" t="str">
        <f>"20:28:10.553"</f>
        <v>20:28:10.553</v>
      </c>
      <c r="CF1198">
        <v>553480987</v>
      </c>
      <c r="CS1198">
        <v>0</v>
      </c>
      <c r="CT1198">
        <v>2</v>
      </c>
      <c r="CU1198">
        <v>0</v>
      </c>
      <c r="CV1198">
        <v>2</v>
      </c>
      <c r="CW1198">
        <v>0</v>
      </c>
      <c r="CX1198">
        <v>4</v>
      </c>
      <c r="CY1198">
        <v>7</v>
      </c>
      <c r="CZ1198" t="s">
        <v>131</v>
      </c>
      <c r="DA1198">
        <v>116</v>
      </c>
      <c r="DB1198">
        <v>0</v>
      </c>
      <c r="DC1198" t="s">
        <v>132</v>
      </c>
      <c r="DD1198" t="s">
        <v>133</v>
      </c>
      <c r="DG1198">
        <v>14779726</v>
      </c>
      <c r="DI1198">
        <v>0</v>
      </c>
      <c r="DJ1198">
        <v>1</v>
      </c>
      <c r="DK1198">
        <v>1</v>
      </c>
      <c r="DL1198">
        <v>0</v>
      </c>
      <c r="DM1198">
        <v>0</v>
      </c>
      <c r="DN1198">
        <v>0</v>
      </c>
      <c r="DO1198">
        <v>0</v>
      </c>
      <c r="DP1198">
        <v>1</v>
      </c>
      <c r="DQ1198">
        <v>0</v>
      </c>
      <c r="DR1198">
        <v>0</v>
      </c>
      <c r="DS1198">
        <v>1</v>
      </c>
    </row>
    <row r="1199" spans="1:123" x14ac:dyDescent="0.25">
      <c r="A1199" t="str">
        <f>"11/29/2023 20:28:11.087"</f>
        <v>11/29/2023 20:28:11.087</v>
      </c>
      <c r="C1199" t="str">
        <f t="shared" si="134"/>
        <v>FFDF53C0</v>
      </c>
      <c r="D1199" t="s">
        <v>123</v>
      </c>
      <c r="E1199">
        <v>1</v>
      </c>
      <c r="F1199">
        <v>1001</v>
      </c>
      <c r="G1199" t="s">
        <v>134</v>
      </c>
      <c r="J1199" t="s">
        <v>125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>"20:28:10.547"</f>
        <v>20:28:10.547</v>
      </c>
      <c r="T1199" t="str">
        <f>"20:28:10.247"</f>
        <v>20:28:10.247</v>
      </c>
      <c r="U1199" t="str">
        <f t="shared" si="131"/>
        <v>AA0632</v>
      </c>
      <c r="V1199">
        <v>0</v>
      </c>
      <c r="W1199">
        <v>0</v>
      </c>
      <c r="X1199">
        <v>2</v>
      </c>
      <c r="Y1199">
        <v>0</v>
      </c>
      <c r="AA1199">
        <v>0</v>
      </c>
      <c r="AB1199">
        <v>9</v>
      </c>
      <c r="AC1199">
        <v>3</v>
      </c>
      <c r="AD1199">
        <v>0</v>
      </c>
      <c r="AE1199">
        <v>10</v>
      </c>
      <c r="AF1199" t="s">
        <v>126</v>
      </c>
      <c r="AG1199">
        <v>0</v>
      </c>
      <c r="AH1199">
        <v>0</v>
      </c>
      <c r="AI1199">
        <v>2</v>
      </c>
      <c r="AJ1199">
        <v>0</v>
      </c>
      <c r="AK1199" t="s">
        <v>678</v>
      </c>
      <c r="AL1199">
        <v>31.923373000000002</v>
      </c>
      <c r="AM1199" t="s">
        <v>674</v>
      </c>
      <c r="AN1199">
        <v>-100.96922600000001</v>
      </c>
      <c r="AQ1199" t="s">
        <v>129</v>
      </c>
      <c r="AR1199">
        <v>0</v>
      </c>
      <c r="AS1199">
        <v>2</v>
      </c>
      <c r="AT1199">
        <v>-128</v>
      </c>
      <c r="BB1199" t="str">
        <f t="shared" si="132"/>
        <v>1200</v>
      </c>
      <c r="BC1199">
        <v>1</v>
      </c>
      <c r="BD1199" t="str">
        <f t="shared" si="135"/>
        <v xml:space="preserve">N745MB  </v>
      </c>
      <c r="BE1199">
        <v>1</v>
      </c>
      <c r="BG1199">
        <v>0</v>
      </c>
      <c r="BH1199">
        <v>0</v>
      </c>
      <c r="BI1199">
        <v>0</v>
      </c>
      <c r="BL1199" t="s">
        <v>130</v>
      </c>
      <c r="BM1199">
        <v>1</v>
      </c>
      <c r="BN1199">
        <v>0</v>
      </c>
      <c r="BO1199">
        <v>0</v>
      </c>
      <c r="BP1199">
        <v>0</v>
      </c>
      <c r="BT1199">
        <v>0</v>
      </c>
      <c r="BU1199">
        <v>0</v>
      </c>
      <c r="CE1199" t="str">
        <f>"20:28:10.553"</f>
        <v>20:28:10.553</v>
      </c>
      <c r="CF1199">
        <v>553480987</v>
      </c>
      <c r="CS1199">
        <v>0</v>
      </c>
      <c r="CT1199">
        <v>2</v>
      </c>
      <c r="CU1199">
        <v>0</v>
      </c>
      <c r="CV1199">
        <v>2</v>
      </c>
      <c r="CW1199">
        <v>0</v>
      </c>
      <c r="CX1199">
        <v>4</v>
      </c>
      <c r="CY1199">
        <v>7</v>
      </c>
      <c r="CZ1199" t="s">
        <v>131</v>
      </c>
      <c r="DA1199">
        <v>116</v>
      </c>
      <c r="DB1199">
        <v>0</v>
      </c>
      <c r="DC1199" t="s">
        <v>132</v>
      </c>
      <c r="DD1199" t="s">
        <v>133</v>
      </c>
      <c r="DG1199">
        <v>14779726</v>
      </c>
      <c r="DI1199">
        <v>0</v>
      </c>
      <c r="DJ1199">
        <v>1</v>
      </c>
      <c r="DK1199">
        <v>0</v>
      </c>
      <c r="DL1199">
        <v>0</v>
      </c>
      <c r="DM1199">
        <v>0</v>
      </c>
      <c r="DN1199">
        <v>0</v>
      </c>
      <c r="DO1199">
        <v>0</v>
      </c>
      <c r="DP1199">
        <v>1</v>
      </c>
      <c r="DQ1199">
        <v>0</v>
      </c>
      <c r="DR1199">
        <v>0</v>
      </c>
      <c r="DS1199">
        <v>1</v>
      </c>
    </row>
    <row r="1200" spans="1:123" x14ac:dyDescent="0.25">
      <c r="A1200" t="str">
        <f>"11/29/2023 20:28:11.181"</f>
        <v>11/29/2023 20:28:11.181</v>
      </c>
      <c r="C1200" t="str">
        <f t="shared" si="134"/>
        <v>FFDF53C0</v>
      </c>
      <c r="D1200" t="s">
        <v>138</v>
      </c>
      <c r="E1200">
        <v>3</v>
      </c>
      <c r="H1200">
        <v>160</v>
      </c>
      <c r="I1200" t="s">
        <v>124</v>
      </c>
      <c r="J1200" t="s">
        <v>139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>"20:28:10.547"</f>
        <v>20:28:10.547</v>
      </c>
      <c r="T1200" t="str">
        <f>"20:28:10.247"</f>
        <v>20:28:10.247</v>
      </c>
      <c r="U1200" t="str">
        <f t="shared" si="131"/>
        <v>AA0632</v>
      </c>
      <c r="V1200">
        <v>0</v>
      </c>
      <c r="W1200">
        <v>0</v>
      </c>
      <c r="X1200">
        <v>2</v>
      </c>
      <c r="Y1200">
        <v>0</v>
      </c>
      <c r="AA1200">
        <v>0</v>
      </c>
      <c r="AB1200">
        <v>9</v>
      </c>
      <c r="AC1200">
        <v>3</v>
      </c>
      <c r="AD1200">
        <v>0</v>
      </c>
      <c r="AE1200">
        <v>10</v>
      </c>
      <c r="AF1200" t="s">
        <v>126</v>
      </c>
      <c r="AG1200">
        <v>0</v>
      </c>
      <c r="AH1200">
        <v>0</v>
      </c>
      <c r="AI1200">
        <v>2</v>
      </c>
      <c r="AJ1200">
        <v>0</v>
      </c>
      <c r="AK1200" t="s">
        <v>678</v>
      </c>
      <c r="AL1200">
        <v>31.923373000000002</v>
      </c>
      <c r="AM1200" t="s">
        <v>674</v>
      </c>
      <c r="AN1200">
        <v>-100.96922600000001</v>
      </c>
      <c r="AQ1200" t="s">
        <v>129</v>
      </c>
      <c r="AR1200">
        <v>0</v>
      </c>
      <c r="AS1200">
        <v>2</v>
      </c>
      <c r="AT1200">
        <v>-128</v>
      </c>
      <c r="BB1200" t="str">
        <f t="shared" si="132"/>
        <v>1200</v>
      </c>
      <c r="BC1200">
        <v>1</v>
      </c>
      <c r="BD1200" t="str">
        <f t="shared" si="135"/>
        <v xml:space="preserve">N745MB  </v>
      </c>
      <c r="BE1200">
        <v>1</v>
      </c>
      <c r="BG1200">
        <v>0</v>
      </c>
      <c r="BH1200">
        <v>0</v>
      </c>
      <c r="BI1200">
        <v>0</v>
      </c>
      <c r="BL1200" t="s">
        <v>130</v>
      </c>
      <c r="BM1200">
        <v>1</v>
      </c>
      <c r="BN1200">
        <v>0</v>
      </c>
      <c r="BO1200">
        <v>0</v>
      </c>
      <c r="BP1200">
        <v>0</v>
      </c>
      <c r="BT1200">
        <v>0</v>
      </c>
      <c r="BU1200">
        <v>0</v>
      </c>
      <c r="CE1200" t="str">
        <f>"20:28:10.553"</f>
        <v>20:28:10.553</v>
      </c>
      <c r="CF1200">
        <v>553480987</v>
      </c>
      <c r="CS1200">
        <v>0</v>
      </c>
      <c r="CT1200">
        <v>2</v>
      </c>
      <c r="CU1200">
        <v>0</v>
      </c>
      <c r="CV1200">
        <v>2</v>
      </c>
      <c r="CW1200">
        <v>0</v>
      </c>
      <c r="CX1200">
        <v>4</v>
      </c>
      <c r="CY1200">
        <v>7</v>
      </c>
      <c r="CZ1200" t="s">
        <v>131</v>
      </c>
      <c r="DA1200">
        <v>116</v>
      </c>
      <c r="DB1200">
        <v>0</v>
      </c>
      <c r="DC1200" t="s">
        <v>132</v>
      </c>
      <c r="DD1200" t="s">
        <v>133</v>
      </c>
      <c r="DG1200">
        <v>14779726</v>
      </c>
      <c r="DI1200">
        <v>0</v>
      </c>
      <c r="DJ1200">
        <v>1</v>
      </c>
      <c r="DK1200">
        <v>1</v>
      </c>
      <c r="DL1200">
        <v>0</v>
      </c>
      <c r="DM1200">
        <v>0</v>
      </c>
      <c r="DN1200">
        <v>0</v>
      </c>
      <c r="DO1200">
        <v>0</v>
      </c>
      <c r="DP1200">
        <v>1</v>
      </c>
      <c r="DQ1200">
        <v>0</v>
      </c>
      <c r="DR1200">
        <v>0</v>
      </c>
      <c r="DS1200">
        <v>1</v>
      </c>
    </row>
    <row r="1201" spans="1:123" x14ac:dyDescent="0.25">
      <c r="A1201" t="str">
        <f>"11/29/2023 20:28:12.259"</f>
        <v>11/29/2023 20:28:12.259</v>
      </c>
      <c r="C1201" t="str">
        <f t="shared" si="134"/>
        <v>FFDF53C0</v>
      </c>
      <c r="D1201" t="s">
        <v>135</v>
      </c>
      <c r="E1201">
        <v>31</v>
      </c>
      <c r="H1201">
        <v>285</v>
      </c>
      <c r="I1201" t="s">
        <v>136</v>
      </c>
      <c r="J1201" t="s">
        <v>137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 t="shared" ref="S1201:T1204" si="136">"20:28:11.938"</f>
        <v>20:28:11.938</v>
      </c>
      <c r="T1201" t="str">
        <f t="shared" si="136"/>
        <v>20:28:11.938</v>
      </c>
      <c r="U1201" t="str">
        <f t="shared" si="131"/>
        <v>AA0632</v>
      </c>
      <c r="V1201">
        <v>0</v>
      </c>
      <c r="W1201">
        <v>0</v>
      </c>
      <c r="X1201">
        <v>2</v>
      </c>
      <c r="Y1201">
        <v>0</v>
      </c>
      <c r="AA1201">
        <v>0</v>
      </c>
      <c r="AB1201">
        <v>9</v>
      </c>
      <c r="AC1201">
        <v>3</v>
      </c>
      <c r="AD1201">
        <v>0</v>
      </c>
      <c r="AE1201">
        <v>10</v>
      </c>
      <c r="AF1201" t="s">
        <v>126</v>
      </c>
      <c r="AG1201">
        <v>0</v>
      </c>
      <c r="AH1201">
        <v>0</v>
      </c>
      <c r="AI1201">
        <v>2</v>
      </c>
      <c r="AJ1201">
        <v>0</v>
      </c>
      <c r="AK1201" t="s">
        <v>678</v>
      </c>
      <c r="AL1201">
        <v>31.923373000000002</v>
      </c>
      <c r="AM1201" t="s">
        <v>674</v>
      </c>
      <c r="AN1201">
        <v>-100.96922600000001</v>
      </c>
      <c r="AQ1201" t="s">
        <v>129</v>
      </c>
      <c r="AR1201">
        <v>0</v>
      </c>
      <c r="AS1201">
        <v>2</v>
      </c>
      <c r="AT1201">
        <v>-64</v>
      </c>
      <c r="BB1201" t="str">
        <f t="shared" si="132"/>
        <v>1200</v>
      </c>
      <c r="BC1201">
        <v>1</v>
      </c>
      <c r="BD1201" t="str">
        <f t="shared" si="135"/>
        <v xml:space="preserve">N745MB  </v>
      </c>
      <c r="BE1201">
        <v>1</v>
      </c>
      <c r="BG1201">
        <v>0</v>
      </c>
      <c r="BH1201">
        <v>0</v>
      </c>
      <c r="BI1201">
        <v>0</v>
      </c>
      <c r="BL1201" t="s">
        <v>130</v>
      </c>
      <c r="BM1201">
        <v>1</v>
      </c>
      <c r="BN1201">
        <v>0</v>
      </c>
      <c r="BO1201">
        <v>0</v>
      </c>
      <c r="BP1201">
        <v>0</v>
      </c>
      <c r="BT1201">
        <v>0</v>
      </c>
      <c r="BU1201">
        <v>0</v>
      </c>
      <c r="CE1201" t="str">
        <f>"20:28:11.943"</f>
        <v>20:28:11.943</v>
      </c>
      <c r="CF1201">
        <v>943387523</v>
      </c>
      <c r="CS1201">
        <v>0</v>
      </c>
      <c r="CT1201">
        <v>2</v>
      </c>
      <c r="CU1201">
        <v>0</v>
      </c>
      <c r="CV1201">
        <v>2</v>
      </c>
      <c r="CW1201">
        <v>0</v>
      </c>
      <c r="CX1201">
        <v>4</v>
      </c>
      <c r="CY1201">
        <v>7</v>
      </c>
      <c r="CZ1201" t="s">
        <v>131</v>
      </c>
      <c r="DA1201">
        <v>116</v>
      </c>
      <c r="DB1201">
        <v>0</v>
      </c>
      <c r="DC1201" t="s">
        <v>132</v>
      </c>
      <c r="DD1201" t="s">
        <v>133</v>
      </c>
      <c r="DG1201">
        <v>14780910</v>
      </c>
      <c r="DI1201">
        <v>0</v>
      </c>
      <c r="DJ1201">
        <v>1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1</v>
      </c>
      <c r="DQ1201">
        <v>0</v>
      </c>
      <c r="DR1201">
        <v>0</v>
      </c>
      <c r="DS1201">
        <v>1</v>
      </c>
    </row>
    <row r="1202" spans="1:123" x14ac:dyDescent="0.25">
      <c r="A1202" t="str">
        <f>"11/29/2023 20:28:12.259"</f>
        <v>11/29/2023 20:28:12.259</v>
      </c>
      <c r="C1202" t="str">
        <f t="shared" si="134"/>
        <v>FFDF53C0</v>
      </c>
      <c r="D1202" t="s">
        <v>123</v>
      </c>
      <c r="E1202">
        <v>1</v>
      </c>
      <c r="F1202">
        <v>1001</v>
      </c>
      <c r="G1202" t="s">
        <v>134</v>
      </c>
      <c r="J1202" t="s">
        <v>125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 t="shared" si="136"/>
        <v>20:28:11.938</v>
      </c>
      <c r="T1202" t="str">
        <f t="shared" si="136"/>
        <v>20:28:11.938</v>
      </c>
      <c r="U1202" t="str">
        <f t="shared" si="131"/>
        <v>AA0632</v>
      </c>
      <c r="V1202">
        <v>0</v>
      </c>
      <c r="W1202">
        <v>0</v>
      </c>
      <c r="X1202">
        <v>2</v>
      </c>
      <c r="Y1202">
        <v>0</v>
      </c>
      <c r="AA1202">
        <v>0</v>
      </c>
      <c r="AB1202">
        <v>9</v>
      </c>
      <c r="AC1202">
        <v>3</v>
      </c>
      <c r="AD1202">
        <v>0</v>
      </c>
      <c r="AE1202">
        <v>10</v>
      </c>
      <c r="AF1202" t="s">
        <v>126</v>
      </c>
      <c r="AG1202">
        <v>0</v>
      </c>
      <c r="AH1202">
        <v>0</v>
      </c>
      <c r="AI1202">
        <v>2</v>
      </c>
      <c r="AJ1202">
        <v>0</v>
      </c>
      <c r="AK1202" t="s">
        <v>678</v>
      </c>
      <c r="AL1202">
        <v>31.923373000000002</v>
      </c>
      <c r="AM1202" t="s">
        <v>674</v>
      </c>
      <c r="AN1202">
        <v>-100.96922600000001</v>
      </c>
      <c r="AQ1202" t="s">
        <v>129</v>
      </c>
      <c r="AR1202">
        <v>0</v>
      </c>
      <c r="AS1202">
        <v>2</v>
      </c>
      <c r="AT1202">
        <v>-64</v>
      </c>
      <c r="BB1202" t="str">
        <f t="shared" si="132"/>
        <v>1200</v>
      </c>
      <c r="BC1202">
        <v>1</v>
      </c>
      <c r="BD1202" t="str">
        <f t="shared" si="135"/>
        <v xml:space="preserve">N745MB  </v>
      </c>
      <c r="BE1202">
        <v>1</v>
      </c>
      <c r="BG1202">
        <v>0</v>
      </c>
      <c r="BH1202">
        <v>0</v>
      </c>
      <c r="BI1202">
        <v>0</v>
      </c>
      <c r="BL1202" t="s">
        <v>130</v>
      </c>
      <c r="BM1202">
        <v>1</v>
      </c>
      <c r="BN1202">
        <v>0</v>
      </c>
      <c r="BO1202">
        <v>0</v>
      </c>
      <c r="BP1202">
        <v>0</v>
      </c>
      <c r="BT1202">
        <v>0</v>
      </c>
      <c r="BU1202">
        <v>0</v>
      </c>
      <c r="CE1202" t="str">
        <f>"20:28:11.943"</f>
        <v>20:28:11.943</v>
      </c>
      <c r="CF1202">
        <v>943387523</v>
      </c>
      <c r="CS1202">
        <v>0</v>
      </c>
      <c r="CT1202">
        <v>2</v>
      </c>
      <c r="CU1202">
        <v>0</v>
      </c>
      <c r="CV1202">
        <v>2</v>
      </c>
      <c r="CW1202">
        <v>0</v>
      </c>
      <c r="CX1202">
        <v>4</v>
      </c>
      <c r="CY1202">
        <v>7</v>
      </c>
      <c r="CZ1202" t="s">
        <v>131</v>
      </c>
      <c r="DA1202">
        <v>116</v>
      </c>
      <c r="DB1202">
        <v>0</v>
      </c>
      <c r="DC1202" t="s">
        <v>132</v>
      </c>
      <c r="DD1202" t="s">
        <v>133</v>
      </c>
      <c r="DG1202">
        <v>14780910</v>
      </c>
      <c r="DI1202">
        <v>0</v>
      </c>
      <c r="DJ1202">
        <v>1</v>
      </c>
      <c r="DK1202">
        <v>1</v>
      </c>
      <c r="DL1202">
        <v>0</v>
      </c>
      <c r="DM1202">
        <v>0</v>
      </c>
      <c r="DN1202">
        <v>0</v>
      </c>
      <c r="DO1202">
        <v>0</v>
      </c>
      <c r="DP1202">
        <v>1</v>
      </c>
      <c r="DQ1202">
        <v>0</v>
      </c>
      <c r="DR1202">
        <v>0</v>
      </c>
      <c r="DS1202">
        <v>1</v>
      </c>
    </row>
    <row r="1203" spans="1:123" x14ac:dyDescent="0.25">
      <c r="A1203" t="str">
        <f>"11/29/2023 20:28:12.259"</f>
        <v>11/29/2023 20:28:12.259</v>
      </c>
      <c r="C1203" t="str">
        <f t="shared" si="134"/>
        <v>FFDF53C0</v>
      </c>
      <c r="D1203" t="s">
        <v>138</v>
      </c>
      <c r="E1203">
        <v>3</v>
      </c>
      <c r="H1203">
        <v>160</v>
      </c>
      <c r="I1203" t="s">
        <v>124</v>
      </c>
      <c r="J1203" t="s">
        <v>139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 t="shared" si="136"/>
        <v>20:28:11.938</v>
      </c>
      <c r="T1203" t="str">
        <f t="shared" si="136"/>
        <v>20:28:11.938</v>
      </c>
      <c r="U1203" t="str">
        <f t="shared" si="131"/>
        <v>AA0632</v>
      </c>
      <c r="V1203">
        <v>0</v>
      </c>
      <c r="W1203">
        <v>0</v>
      </c>
      <c r="X1203">
        <v>2</v>
      </c>
      <c r="Y1203">
        <v>0</v>
      </c>
      <c r="AA1203">
        <v>0</v>
      </c>
      <c r="AB1203">
        <v>9</v>
      </c>
      <c r="AC1203">
        <v>3</v>
      </c>
      <c r="AD1203">
        <v>0</v>
      </c>
      <c r="AE1203">
        <v>10</v>
      </c>
      <c r="AF1203" t="s">
        <v>126</v>
      </c>
      <c r="AG1203">
        <v>0</v>
      </c>
      <c r="AH1203">
        <v>0</v>
      </c>
      <c r="AI1203">
        <v>2</v>
      </c>
      <c r="AJ1203">
        <v>0</v>
      </c>
      <c r="AK1203" t="s">
        <v>678</v>
      </c>
      <c r="AL1203">
        <v>31.923373000000002</v>
      </c>
      <c r="AM1203" t="s">
        <v>674</v>
      </c>
      <c r="AN1203">
        <v>-100.96922600000001</v>
      </c>
      <c r="AQ1203" t="s">
        <v>129</v>
      </c>
      <c r="AR1203">
        <v>0</v>
      </c>
      <c r="AS1203">
        <v>2</v>
      </c>
      <c r="AT1203">
        <v>-64</v>
      </c>
      <c r="BB1203" t="str">
        <f t="shared" si="132"/>
        <v>1200</v>
      </c>
      <c r="BC1203">
        <v>1</v>
      </c>
      <c r="BD1203" t="str">
        <f t="shared" si="135"/>
        <v xml:space="preserve">N745MB  </v>
      </c>
      <c r="BE1203">
        <v>1</v>
      </c>
      <c r="BG1203">
        <v>0</v>
      </c>
      <c r="BH1203">
        <v>0</v>
      </c>
      <c r="BI1203">
        <v>0</v>
      </c>
      <c r="BL1203" t="s">
        <v>130</v>
      </c>
      <c r="BM1203">
        <v>1</v>
      </c>
      <c r="BN1203">
        <v>0</v>
      </c>
      <c r="BO1203">
        <v>0</v>
      </c>
      <c r="BP1203">
        <v>0</v>
      </c>
      <c r="BT1203">
        <v>0</v>
      </c>
      <c r="BU1203">
        <v>0</v>
      </c>
      <c r="CE1203" t="str">
        <f>"20:28:11.943"</f>
        <v>20:28:11.943</v>
      </c>
      <c r="CF1203">
        <v>943387523</v>
      </c>
      <c r="CS1203">
        <v>0</v>
      </c>
      <c r="CT1203">
        <v>2</v>
      </c>
      <c r="CU1203">
        <v>0</v>
      </c>
      <c r="CV1203">
        <v>2</v>
      </c>
      <c r="CW1203">
        <v>0</v>
      </c>
      <c r="CX1203">
        <v>4</v>
      </c>
      <c r="CY1203">
        <v>7</v>
      </c>
      <c r="CZ1203" t="s">
        <v>131</v>
      </c>
      <c r="DA1203">
        <v>116</v>
      </c>
      <c r="DB1203">
        <v>0</v>
      </c>
      <c r="DC1203" t="s">
        <v>132</v>
      </c>
      <c r="DD1203" t="s">
        <v>133</v>
      </c>
      <c r="DG1203">
        <v>14780910</v>
      </c>
      <c r="DI1203">
        <v>0</v>
      </c>
      <c r="DJ1203">
        <v>1</v>
      </c>
      <c r="DK1203">
        <v>0</v>
      </c>
      <c r="DL1203">
        <v>0</v>
      </c>
      <c r="DM1203">
        <v>0</v>
      </c>
      <c r="DN1203">
        <v>0</v>
      </c>
      <c r="DO1203">
        <v>0</v>
      </c>
      <c r="DP1203">
        <v>1</v>
      </c>
      <c r="DQ1203">
        <v>0</v>
      </c>
      <c r="DR1203">
        <v>0</v>
      </c>
      <c r="DS1203">
        <v>1</v>
      </c>
    </row>
    <row r="1204" spans="1:123" x14ac:dyDescent="0.25">
      <c r="A1204" t="str">
        <f>"11/29/2023 20:28:12.259"</f>
        <v>11/29/2023 20:28:12.259</v>
      </c>
      <c r="C1204" t="str">
        <f t="shared" si="134"/>
        <v>FFDF53C0</v>
      </c>
      <c r="D1204" t="s">
        <v>123</v>
      </c>
      <c r="E1204">
        <v>14</v>
      </c>
      <c r="F1204">
        <v>1014</v>
      </c>
      <c r="G1204" t="s">
        <v>124</v>
      </c>
      <c r="J1204" t="s">
        <v>125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 t="shared" si="136"/>
        <v>20:28:11.938</v>
      </c>
      <c r="T1204" t="str">
        <f t="shared" si="136"/>
        <v>20:28:11.938</v>
      </c>
      <c r="U1204" t="str">
        <f t="shared" si="131"/>
        <v>AA0632</v>
      </c>
      <c r="V1204">
        <v>0</v>
      </c>
      <c r="W1204">
        <v>0</v>
      </c>
      <c r="X1204">
        <v>2</v>
      </c>
      <c r="Y1204">
        <v>0</v>
      </c>
      <c r="AA1204">
        <v>0</v>
      </c>
      <c r="AB1204">
        <v>9</v>
      </c>
      <c r="AC1204">
        <v>3</v>
      </c>
      <c r="AD1204">
        <v>0</v>
      </c>
      <c r="AE1204">
        <v>10</v>
      </c>
      <c r="AF1204" t="s">
        <v>126</v>
      </c>
      <c r="AG1204">
        <v>0</v>
      </c>
      <c r="AH1204">
        <v>0</v>
      </c>
      <c r="AI1204">
        <v>2</v>
      </c>
      <c r="AJ1204">
        <v>0</v>
      </c>
      <c r="AK1204" t="s">
        <v>678</v>
      </c>
      <c r="AL1204">
        <v>31.923373000000002</v>
      </c>
      <c r="AM1204" t="s">
        <v>674</v>
      </c>
      <c r="AN1204">
        <v>-100.96922600000001</v>
      </c>
      <c r="AQ1204" t="s">
        <v>129</v>
      </c>
      <c r="AR1204">
        <v>0</v>
      </c>
      <c r="AS1204">
        <v>2</v>
      </c>
      <c r="AT1204">
        <v>-64</v>
      </c>
      <c r="BB1204" t="str">
        <f t="shared" si="132"/>
        <v>1200</v>
      </c>
      <c r="BC1204">
        <v>1</v>
      </c>
      <c r="BD1204" t="str">
        <f t="shared" si="135"/>
        <v xml:space="preserve">N745MB  </v>
      </c>
      <c r="BE1204">
        <v>1</v>
      </c>
      <c r="BG1204">
        <v>0</v>
      </c>
      <c r="BH1204">
        <v>0</v>
      </c>
      <c r="BI1204">
        <v>0</v>
      </c>
      <c r="BL1204" t="s">
        <v>130</v>
      </c>
      <c r="BM1204">
        <v>1</v>
      </c>
      <c r="BN1204">
        <v>0</v>
      </c>
      <c r="BO1204">
        <v>0</v>
      </c>
      <c r="BP1204">
        <v>0</v>
      </c>
      <c r="BT1204">
        <v>0</v>
      </c>
      <c r="BU1204">
        <v>0</v>
      </c>
      <c r="CE1204" t="str">
        <f>"20:28:11.943"</f>
        <v>20:28:11.943</v>
      </c>
      <c r="CF1204">
        <v>943387523</v>
      </c>
      <c r="CS1204">
        <v>0</v>
      </c>
      <c r="CT1204">
        <v>2</v>
      </c>
      <c r="CU1204">
        <v>0</v>
      </c>
      <c r="CV1204">
        <v>2</v>
      </c>
      <c r="CW1204">
        <v>0</v>
      </c>
      <c r="CX1204">
        <v>4</v>
      </c>
      <c r="CY1204">
        <v>7</v>
      </c>
      <c r="CZ1204" t="s">
        <v>131</v>
      </c>
      <c r="DA1204">
        <v>116</v>
      </c>
      <c r="DB1204">
        <v>0</v>
      </c>
      <c r="DC1204" t="s">
        <v>132</v>
      </c>
      <c r="DD1204" t="s">
        <v>133</v>
      </c>
      <c r="DG1204">
        <v>14780910</v>
      </c>
      <c r="DI1204">
        <v>0</v>
      </c>
      <c r="DJ1204">
        <v>1</v>
      </c>
      <c r="DK1204">
        <v>1</v>
      </c>
      <c r="DL1204">
        <v>0</v>
      </c>
      <c r="DM1204">
        <v>0</v>
      </c>
      <c r="DN1204">
        <v>0</v>
      </c>
      <c r="DO1204">
        <v>0</v>
      </c>
      <c r="DP1204">
        <v>1</v>
      </c>
      <c r="DQ1204">
        <v>0</v>
      </c>
      <c r="DR1204">
        <v>0</v>
      </c>
      <c r="DS1204">
        <v>1</v>
      </c>
    </row>
    <row r="1205" spans="1:123" x14ac:dyDescent="0.25">
      <c r="A1205" t="str">
        <f>"11/29/2023 20:28:13.899"</f>
        <v>11/29/2023 20:28:13.899</v>
      </c>
      <c r="C1205" t="str">
        <f t="shared" si="134"/>
        <v>FFDF53C0</v>
      </c>
      <c r="D1205" t="s">
        <v>138</v>
      </c>
      <c r="E1205">
        <v>3</v>
      </c>
      <c r="H1205">
        <v>160</v>
      </c>
      <c r="I1205" t="s">
        <v>124</v>
      </c>
      <c r="J1205" t="s">
        <v>139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>"20:28:13.398"</f>
        <v>20:28:13.398</v>
      </c>
      <c r="T1205" t="str">
        <f>"20:28:12.898"</f>
        <v>20:28:12.898</v>
      </c>
      <c r="U1205" t="str">
        <f t="shared" si="131"/>
        <v>AA0632</v>
      </c>
      <c r="V1205">
        <v>0</v>
      </c>
      <c r="W1205">
        <v>0</v>
      </c>
      <c r="X1205">
        <v>2</v>
      </c>
      <c r="Y1205">
        <v>0</v>
      </c>
      <c r="AA1205">
        <v>0</v>
      </c>
      <c r="AB1205">
        <v>9</v>
      </c>
      <c r="AC1205">
        <v>3</v>
      </c>
      <c r="AD1205">
        <v>0</v>
      </c>
      <c r="AE1205">
        <v>10</v>
      </c>
      <c r="AF1205" t="s">
        <v>126</v>
      </c>
      <c r="AG1205">
        <v>0</v>
      </c>
      <c r="AH1205">
        <v>0</v>
      </c>
      <c r="AI1205">
        <v>2</v>
      </c>
      <c r="AJ1205">
        <v>0</v>
      </c>
      <c r="AK1205" t="s">
        <v>505</v>
      </c>
      <c r="AL1205">
        <v>31.923393999999998</v>
      </c>
      <c r="AM1205" t="s">
        <v>672</v>
      </c>
      <c r="AN1205">
        <v>-100.96924799999999</v>
      </c>
      <c r="AQ1205" t="s">
        <v>129</v>
      </c>
      <c r="AR1205">
        <v>0</v>
      </c>
      <c r="AS1205">
        <v>2</v>
      </c>
      <c r="AT1205">
        <v>-64</v>
      </c>
      <c r="BB1205" t="str">
        <f t="shared" si="132"/>
        <v>1200</v>
      </c>
      <c r="BC1205">
        <v>1</v>
      </c>
      <c r="BD1205" t="str">
        <f t="shared" si="135"/>
        <v xml:space="preserve">N745MB  </v>
      </c>
      <c r="BE1205">
        <v>1</v>
      </c>
      <c r="BG1205">
        <v>0</v>
      </c>
      <c r="BH1205">
        <v>0</v>
      </c>
      <c r="BI1205">
        <v>0</v>
      </c>
      <c r="BL1205" t="s">
        <v>130</v>
      </c>
      <c r="BM1205">
        <v>1</v>
      </c>
      <c r="BN1205">
        <v>0</v>
      </c>
      <c r="BO1205">
        <v>0</v>
      </c>
      <c r="BP1205">
        <v>0</v>
      </c>
      <c r="BT1205">
        <v>0</v>
      </c>
      <c r="BU1205">
        <v>0</v>
      </c>
      <c r="CE1205" t="str">
        <f>"20:28:13.399"</f>
        <v>20:28:13.399</v>
      </c>
      <c r="CF1205">
        <v>399292206</v>
      </c>
      <c r="CS1205">
        <v>0</v>
      </c>
      <c r="CT1205">
        <v>2</v>
      </c>
      <c r="CU1205">
        <v>0</v>
      </c>
      <c r="CV1205">
        <v>2</v>
      </c>
      <c r="CW1205">
        <v>0</v>
      </c>
      <c r="CX1205">
        <v>4</v>
      </c>
      <c r="CY1205">
        <v>7</v>
      </c>
      <c r="CZ1205" t="s">
        <v>131</v>
      </c>
      <c r="DA1205">
        <v>116</v>
      </c>
      <c r="DB1205">
        <v>0</v>
      </c>
      <c r="DC1205" t="s">
        <v>132</v>
      </c>
      <c r="DD1205" t="s">
        <v>133</v>
      </c>
      <c r="DG1205">
        <v>14782045</v>
      </c>
      <c r="DI1205">
        <v>0</v>
      </c>
      <c r="DJ1205">
        <v>1</v>
      </c>
      <c r="DK1205">
        <v>0</v>
      </c>
      <c r="DL1205">
        <v>0</v>
      </c>
      <c r="DM1205">
        <v>0</v>
      </c>
      <c r="DN1205">
        <v>0</v>
      </c>
      <c r="DO1205">
        <v>0</v>
      </c>
      <c r="DP1205">
        <v>1</v>
      </c>
      <c r="DQ1205">
        <v>0</v>
      </c>
      <c r="DR1205">
        <v>0</v>
      </c>
      <c r="DS1205">
        <v>1</v>
      </c>
    </row>
    <row r="1206" spans="1:123" x14ac:dyDescent="0.25">
      <c r="A1206" t="str">
        <f>"11/29/2023 20:28:13.962"</f>
        <v>11/29/2023 20:28:13.962</v>
      </c>
      <c r="C1206" t="str">
        <f t="shared" si="134"/>
        <v>FFDF53C0</v>
      </c>
      <c r="D1206" t="s">
        <v>123</v>
      </c>
      <c r="E1206">
        <v>14</v>
      </c>
      <c r="F1206">
        <v>1014</v>
      </c>
      <c r="G1206" t="s">
        <v>124</v>
      </c>
      <c r="J1206" t="s">
        <v>125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>"20:28:13.398"</f>
        <v>20:28:13.398</v>
      </c>
      <c r="T1206" t="str">
        <f>"20:28:12.898"</f>
        <v>20:28:12.898</v>
      </c>
      <c r="U1206" t="str">
        <f t="shared" si="131"/>
        <v>AA0632</v>
      </c>
      <c r="V1206">
        <v>0</v>
      </c>
      <c r="W1206">
        <v>0</v>
      </c>
      <c r="X1206">
        <v>2</v>
      </c>
      <c r="Y1206">
        <v>0</v>
      </c>
      <c r="AA1206">
        <v>0</v>
      </c>
      <c r="AB1206">
        <v>9</v>
      </c>
      <c r="AC1206">
        <v>3</v>
      </c>
      <c r="AD1206">
        <v>0</v>
      </c>
      <c r="AE1206">
        <v>10</v>
      </c>
      <c r="AF1206" t="s">
        <v>126</v>
      </c>
      <c r="AG1206">
        <v>0</v>
      </c>
      <c r="AH1206">
        <v>0</v>
      </c>
      <c r="AI1206">
        <v>2</v>
      </c>
      <c r="AJ1206">
        <v>0</v>
      </c>
      <c r="AK1206" t="s">
        <v>505</v>
      </c>
      <c r="AL1206">
        <v>31.923393999999998</v>
      </c>
      <c r="AM1206" t="s">
        <v>672</v>
      </c>
      <c r="AN1206">
        <v>-100.96924799999999</v>
      </c>
      <c r="AQ1206" t="s">
        <v>129</v>
      </c>
      <c r="AR1206">
        <v>0</v>
      </c>
      <c r="AS1206">
        <v>2</v>
      </c>
      <c r="AT1206">
        <v>-64</v>
      </c>
      <c r="BB1206" t="str">
        <f t="shared" si="132"/>
        <v>1200</v>
      </c>
      <c r="BC1206">
        <v>1</v>
      </c>
      <c r="BD1206" t="str">
        <f t="shared" si="135"/>
        <v xml:space="preserve">N745MB  </v>
      </c>
      <c r="BE1206">
        <v>1</v>
      </c>
      <c r="BG1206">
        <v>0</v>
      </c>
      <c r="BH1206">
        <v>0</v>
      </c>
      <c r="BI1206">
        <v>0</v>
      </c>
      <c r="BL1206" t="s">
        <v>130</v>
      </c>
      <c r="BM1206">
        <v>1</v>
      </c>
      <c r="BN1206">
        <v>0</v>
      </c>
      <c r="BO1206">
        <v>0</v>
      </c>
      <c r="BP1206">
        <v>0</v>
      </c>
      <c r="BT1206">
        <v>0</v>
      </c>
      <c r="BU1206">
        <v>0</v>
      </c>
      <c r="CE1206" t="str">
        <f>"20:28:13.399"</f>
        <v>20:28:13.399</v>
      </c>
      <c r="CF1206">
        <v>399292206</v>
      </c>
      <c r="CS1206">
        <v>0</v>
      </c>
      <c r="CT1206">
        <v>2</v>
      </c>
      <c r="CU1206">
        <v>0</v>
      </c>
      <c r="CV1206">
        <v>2</v>
      </c>
      <c r="CW1206">
        <v>0</v>
      </c>
      <c r="CX1206">
        <v>4</v>
      </c>
      <c r="CY1206">
        <v>7</v>
      </c>
      <c r="CZ1206" t="s">
        <v>131</v>
      </c>
      <c r="DA1206">
        <v>116</v>
      </c>
      <c r="DB1206">
        <v>0</v>
      </c>
      <c r="DC1206" t="s">
        <v>132</v>
      </c>
      <c r="DD1206" t="s">
        <v>133</v>
      </c>
      <c r="DG1206">
        <v>14782045</v>
      </c>
      <c r="DI1206">
        <v>0</v>
      </c>
      <c r="DJ1206">
        <v>1</v>
      </c>
      <c r="DK1206">
        <v>1</v>
      </c>
      <c r="DL1206">
        <v>0</v>
      </c>
      <c r="DM1206">
        <v>0</v>
      </c>
      <c r="DN1206">
        <v>0</v>
      </c>
      <c r="DO1206">
        <v>0</v>
      </c>
      <c r="DP1206">
        <v>1</v>
      </c>
      <c r="DQ1206">
        <v>0</v>
      </c>
      <c r="DR1206">
        <v>0</v>
      </c>
      <c r="DS1206">
        <v>1</v>
      </c>
    </row>
    <row r="1207" spans="1:123" x14ac:dyDescent="0.25">
      <c r="A1207" t="str">
        <f>"11/29/2023 20:28:13.962"</f>
        <v>11/29/2023 20:28:13.962</v>
      </c>
      <c r="C1207" t="str">
        <f t="shared" si="134"/>
        <v>FFDF53C0</v>
      </c>
      <c r="D1207" t="s">
        <v>135</v>
      </c>
      <c r="E1207">
        <v>31</v>
      </c>
      <c r="H1207">
        <v>285</v>
      </c>
      <c r="I1207" t="s">
        <v>136</v>
      </c>
      <c r="J1207" t="s">
        <v>137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>"20:28:13.398"</f>
        <v>20:28:13.398</v>
      </c>
      <c r="T1207" t="str">
        <f>"20:28:12.898"</f>
        <v>20:28:12.898</v>
      </c>
      <c r="U1207" t="str">
        <f t="shared" si="131"/>
        <v>AA0632</v>
      </c>
      <c r="V1207">
        <v>0</v>
      </c>
      <c r="W1207">
        <v>0</v>
      </c>
      <c r="X1207">
        <v>2</v>
      </c>
      <c r="Y1207">
        <v>0</v>
      </c>
      <c r="AA1207">
        <v>0</v>
      </c>
      <c r="AB1207">
        <v>9</v>
      </c>
      <c r="AC1207">
        <v>3</v>
      </c>
      <c r="AD1207">
        <v>0</v>
      </c>
      <c r="AE1207">
        <v>10</v>
      </c>
      <c r="AF1207" t="s">
        <v>126</v>
      </c>
      <c r="AG1207">
        <v>0</v>
      </c>
      <c r="AH1207">
        <v>0</v>
      </c>
      <c r="AI1207">
        <v>2</v>
      </c>
      <c r="AJ1207">
        <v>0</v>
      </c>
      <c r="AK1207" t="s">
        <v>505</v>
      </c>
      <c r="AL1207">
        <v>31.923393999999998</v>
      </c>
      <c r="AM1207" t="s">
        <v>672</v>
      </c>
      <c r="AN1207">
        <v>-100.96924799999999</v>
      </c>
      <c r="AQ1207" t="s">
        <v>129</v>
      </c>
      <c r="AR1207">
        <v>0</v>
      </c>
      <c r="AS1207">
        <v>2</v>
      </c>
      <c r="AT1207">
        <v>-64</v>
      </c>
      <c r="BB1207" t="str">
        <f t="shared" si="132"/>
        <v>1200</v>
      </c>
      <c r="BC1207">
        <v>1</v>
      </c>
      <c r="BD1207" t="str">
        <f t="shared" si="135"/>
        <v xml:space="preserve">N745MB  </v>
      </c>
      <c r="BE1207">
        <v>1</v>
      </c>
      <c r="BG1207">
        <v>0</v>
      </c>
      <c r="BH1207">
        <v>0</v>
      </c>
      <c r="BI1207">
        <v>0</v>
      </c>
      <c r="BL1207" t="s">
        <v>130</v>
      </c>
      <c r="BM1207">
        <v>1</v>
      </c>
      <c r="BN1207">
        <v>0</v>
      </c>
      <c r="BO1207">
        <v>0</v>
      </c>
      <c r="BP1207">
        <v>0</v>
      </c>
      <c r="BT1207">
        <v>0</v>
      </c>
      <c r="BU1207">
        <v>0</v>
      </c>
      <c r="CE1207" t="str">
        <f>"20:28:13.399"</f>
        <v>20:28:13.399</v>
      </c>
      <c r="CF1207">
        <v>399292206</v>
      </c>
      <c r="CS1207">
        <v>0</v>
      </c>
      <c r="CT1207">
        <v>2</v>
      </c>
      <c r="CU1207">
        <v>0</v>
      </c>
      <c r="CV1207">
        <v>2</v>
      </c>
      <c r="CW1207">
        <v>0</v>
      </c>
      <c r="CX1207">
        <v>4</v>
      </c>
      <c r="CY1207">
        <v>7</v>
      </c>
      <c r="CZ1207" t="s">
        <v>131</v>
      </c>
      <c r="DA1207">
        <v>116</v>
      </c>
      <c r="DB1207">
        <v>0</v>
      </c>
      <c r="DC1207" t="s">
        <v>132</v>
      </c>
      <c r="DD1207" t="s">
        <v>133</v>
      </c>
      <c r="DG1207">
        <v>14782045</v>
      </c>
      <c r="DI1207">
        <v>0</v>
      </c>
      <c r="DJ1207">
        <v>1</v>
      </c>
      <c r="DK1207">
        <v>1</v>
      </c>
      <c r="DL1207">
        <v>0</v>
      </c>
      <c r="DM1207">
        <v>0</v>
      </c>
      <c r="DN1207">
        <v>0</v>
      </c>
      <c r="DO1207">
        <v>0</v>
      </c>
      <c r="DP1207">
        <v>1</v>
      </c>
      <c r="DQ1207">
        <v>0</v>
      </c>
      <c r="DR1207">
        <v>0</v>
      </c>
      <c r="DS1207">
        <v>1</v>
      </c>
    </row>
    <row r="1208" spans="1:123" x14ac:dyDescent="0.25">
      <c r="A1208" t="str">
        <f>"11/29/2023 20:28:14.024"</f>
        <v>11/29/2023 20:28:14.024</v>
      </c>
      <c r="C1208" t="str">
        <f t="shared" si="134"/>
        <v>FFDF53C0</v>
      </c>
      <c r="D1208" t="s">
        <v>123</v>
      </c>
      <c r="E1208">
        <v>1</v>
      </c>
      <c r="F1208">
        <v>1001</v>
      </c>
      <c r="G1208" t="s">
        <v>134</v>
      </c>
      <c r="J1208" t="s">
        <v>125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>"20:28:13.398"</f>
        <v>20:28:13.398</v>
      </c>
      <c r="T1208" t="str">
        <f>"20:28:12.898"</f>
        <v>20:28:12.898</v>
      </c>
      <c r="U1208" t="str">
        <f t="shared" si="131"/>
        <v>AA0632</v>
      </c>
      <c r="V1208">
        <v>0</v>
      </c>
      <c r="W1208">
        <v>0</v>
      </c>
      <c r="X1208">
        <v>2</v>
      </c>
      <c r="Y1208">
        <v>0</v>
      </c>
      <c r="AA1208">
        <v>0</v>
      </c>
      <c r="AB1208">
        <v>9</v>
      </c>
      <c r="AC1208">
        <v>3</v>
      </c>
      <c r="AD1208">
        <v>0</v>
      </c>
      <c r="AE1208">
        <v>10</v>
      </c>
      <c r="AF1208" t="s">
        <v>126</v>
      </c>
      <c r="AG1208">
        <v>0</v>
      </c>
      <c r="AH1208">
        <v>0</v>
      </c>
      <c r="AI1208">
        <v>2</v>
      </c>
      <c r="AJ1208">
        <v>0</v>
      </c>
      <c r="AK1208" t="s">
        <v>505</v>
      </c>
      <c r="AL1208">
        <v>31.923393999999998</v>
      </c>
      <c r="AM1208" t="s">
        <v>672</v>
      </c>
      <c r="AN1208">
        <v>-100.96924799999999</v>
      </c>
      <c r="AQ1208" t="s">
        <v>129</v>
      </c>
      <c r="AR1208">
        <v>0</v>
      </c>
      <c r="AS1208">
        <v>2</v>
      </c>
      <c r="AT1208">
        <v>-64</v>
      </c>
      <c r="BB1208" t="str">
        <f t="shared" si="132"/>
        <v>1200</v>
      </c>
      <c r="BC1208">
        <v>1</v>
      </c>
      <c r="BD1208" t="str">
        <f t="shared" si="135"/>
        <v xml:space="preserve">N745MB  </v>
      </c>
      <c r="BE1208">
        <v>1</v>
      </c>
      <c r="BG1208">
        <v>0</v>
      </c>
      <c r="BH1208">
        <v>0</v>
      </c>
      <c r="BI1208">
        <v>0</v>
      </c>
      <c r="BL1208" t="s">
        <v>130</v>
      </c>
      <c r="BM1208">
        <v>1</v>
      </c>
      <c r="BN1208">
        <v>0</v>
      </c>
      <c r="BO1208">
        <v>0</v>
      </c>
      <c r="BP1208">
        <v>0</v>
      </c>
      <c r="BT1208">
        <v>0</v>
      </c>
      <c r="BU1208">
        <v>0</v>
      </c>
      <c r="CE1208" t="str">
        <f>"20:28:13.399"</f>
        <v>20:28:13.399</v>
      </c>
      <c r="CF1208">
        <v>399292206</v>
      </c>
      <c r="CS1208">
        <v>0</v>
      </c>
      <c r="CT1208">
        <v>2</v>
      </c>
      <c r="CU1208">
        <v>0</v>
      </c>
      <c r="CV1208">
        <v>2</v>
      </c>
      <c r="CW1208">
        <v>0</v>
      </c>
      <c r="CX1208">
        <v>4</v>
      </c>
      <c r="CY1208">
        <v>7</v>
      </c>
      <c r="CZ1208" t="s">
        <v>131</v>
      </c>
      <c r="DA1208">
        <v>116</v>
      </c>
      <c r="DB1208">
        <v>0</v>
      </c>
      <c r="DC1208" t="s">
        <v>132</v>
      </c>
      <c r="DD1208" t="s">
        <v>133</v>
      </c>
      <c r="DG1208">
        <v>14782045</v>
      </c>
      <c r="DI1208">
        <v>0</v>
      </c>
      <c r="DJ1208">
        <v>1</v>
      </c>
      <c r="DK1208">
        <v>1</v>
      </c>
      <c r="DL1208">
        <v>0</v>
      </c>
      <c r="DM1208">
        <v>0</v>
      </c>
      <c r="DN1208">
        <v>0</v>
      </c>
      <c r="DO1208">
        <v>0</v>
      </c>
      <c r="DP1208">
        <v>1</v>
      </c>
      <c r="DQ1208">
        <v>0</v>
      </c>
      <c r="DR1208">
        <v>0</v>
      </c>
      <c r="DS1208">
        <v>1</v>
      </c>
    </row>
    <row r="1209" spans="1:123" x14ac:dyDescent="0.25">
      <c r="A1209" t="str">
        <f>"11/29/2023 20:28:15.165"</f>
        <v>11/29/2023 20:28:15.165</v>
      </c>
      <c r="C1209" t="str">
        <f t="shared" si="134"/>
        <v>FFDF53C0</v>
      </c>
      <c r="D1209" t="s">
        <v>138</v>
      </c>
      <c r="E1209">
        <v>3</v>
      </c>
      <c r="H1209">
        <v>160</v>
      </c>
      <c r="I1209" t="s">
        <v>124</v>
      </c>
      <c r="J1209" t="s">
        <v>139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>"20:28:14.930"</f>
        <v>20:28:14.930</v>
      </c>
      <c r="T1209" t="str">
        <f>"20:28:14.830"</f>
        <v>20:28:14.830</v>
      </c>
      <c r="U1209" t="str">
        <f t="shared" si="131"/>
        <v>AA0632</v>
      </c>
      <c r="V1209">
        <v>0</v>
      </c>
      <c r="W1209">
        <v>0</v>
      </c>
      <c r="X1209">
        <v>2</v>
      </c>
      <c r="Y1209">
        <v>0</v>
      </c>
      <c r="AA1209">
        <v>0</v>
      </c>
      <c r="AB1209">
        <v>9</v>
      </c>
      <c r="AC1209">
        <v>3</v>
      </c>
      <c r="AD1209">
        <v>0</v>
      </c>
      <c r="AE1209">
        <v>10</v>
      </c>
      <c r="AF1209" t="s">
        <v>126</v>
      </c>
      <c r="AG1209">
        <v>0</v>
      </c>
      <c r="AH1209">
        <v>0</v>
      </c>
      <c r="AI1209">
        <v>2</v>
      </c>
      <c r="AJ1209">
        <v>0</v>
      </c>
      <c r="AK1209" t="s">
        <v>678</v>
      </c>
      <c r="AL1209">
        <v>31.923373000000002</v>
      </c>
      <c r="AM1209" t="s">
        <v>674</v>
      </c>
      <c r="AN1209">
        <v>-100.96922600000001</v>
      </c>
      <c r="AQ1209" t="s">
        <v>129</v>
      </c>
      <c r="AR1209">
        <v>-1</v>
      </c>
      <c r="AS1209">
        <v>2</v>
      </c>
      <c r="AT1209">
        <v>-64</v>
      </c>
      <c r="BB1209" t="str">
        <f t="shared" si="132"/>
        <v>1200</v>
      </c>
      <c r="BC1209">
        <v>1</v>
      </c>
      <c r="BD1209" t="str">
        <f t="shared" si="135"/>
        <v xml:space="preserve">N745MB  </v>
      </c>
      <c r="BE1209">
        <v>1</v>
      </c>
      <c r="BG1209">
        <v>0</v>
      </c>
      <c r="BH1209">
        <v>0</v>
      </c>
      <c r="BI1209">
        <v>0</v>
      </c>
      <c r="BL1209" t="s">
        <v>130</v>
      </c>
      <c r="BM1209">
        <v>1</v>
      </c>
      <c r="BN1209">
        <v>0</v>
      </c>
      <c r="BO1209">
        <v>0</v>
      </c>
      <c r="BP1209">
        <v>0</v>
      </c>
      <c r="BT1209">
        <v>0</v>
      </c>
      <c r="BU1209">
        <v>0</v>
      </c>
      <c r="CE1209" t="str">
        <f>"20:28:14.933"</f>
        <v>20:28:14.933</v>
      </c>
      <c r="CF1209">
        <v>933189014</v>
      </c>
      <c r="CS1209">
        <v>0</v>
      </c>
      <c r="CT1209">
        <v>2</v>
      </c>
      <c r="CU1209">
        <v>0</v>
      </c>
      <c r="CV1209">
        <v>2</v>
      </c>
      <c r="CW1209">
        <v>0</v>
      </c>
      <c r="CX1209">
        <v>4</v>
      </c>
      <c r="CY1209">
        <v>7</v>
      </c>
      <c r="CZ1209" t="s">
        <v>131</v>
      </c>
      <c r="DA1209">
        <v>116</v>
      </c>
      <c r="DB1209">
        <v>0</v>
      </c>
      <c r="DC1209" t="s">
        <v>132</v>
      </c>
      <c r="DD1209" t="s">
        <v>133</v>
      </c>
      <c r="DG1209">
        <v>14783229</v>
      </c>
      <c r="DI1209">
        <v>0</v>
      </c>
      <c r="DJ1209">
        <v>1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1</v>
      </c>
      <c r="DQ1209">
        <v>0</v>
      </c>
      <c r="DR1209">
        <v>0</v>
      </c>
      <c r="DS1209">
        <v>1</v>
      </c>
    </row>
    <row r="1210" spans="1:123" x14ac:dyDescent="0.25">
      <c r="A1210" t="str">
        <f>"11/29/2023 20:28:15.290"</f>
        <v>11/29/2023 20:28:15.290</v>
      </c>
      <c r="C1210" t="str">
        <f t="shared" si="134"/>
        <v>FFDF53C0</v>
      </c>
      <c r="D1210" t="s">
        <v>123</v>
      </c>
      <c r="E1210">
        <v>14</v>
      </c>
      <c r="F1210">
        <v>1014</v>
      </c>
      <c r="G1210" t="s">
        <v>124</v>
      </c>
      <c r="J1210" t="s">
        <v>125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>"20:28:14.930"</f>
        <v>20:28:14.930</v>
      </c>
      <c r="T1210" t="str">
        <f>"20:28:14.830"</f>
        <v>20:28:14.830</v>
      </c>
      <c r="U1210" t="str">
        <f t="shared" si="131"/>
        <v>AA0632</v>
      </c>
      <c r="V1210">
        <v>0</v>
      </c>
      <c r="W1210">
        <v>0</v>
      </c>
      <c r="X1210">
        <v>2</v>
      </c>
      <c r="Y1210">
        <v>0</v>
      </c>
      <c r="AA1210">
        <v>0</v>
      </c>
      <c r="AB1210">
        <v>9</v>
      </c>
      <c r="AC1210">
        <v>3</v>
      </c>
      <c r="AD1210">
        <v>0</v>
      </c>
      <c r="AE1210">
        <v>10</v>
      </c>
      <c r="AF1210" t="s">
        <v>126</v>
      </c>
      <c r="AG1210">
        <v>0</v>
      </c>
      <c r="AH1210">
        <v>0</v>
      </c>
      <c r="AI1210">
        <v>2</v>
      </c>
      <c r="AJ1210">
        <v>0</v>
      </c>
      <c r="AK1210" t="s">
        <v>678</v>
      </c>
      <c r="AL1210">
        <v>31.923373000000002</v>
      </c>
      <c r="AM1210" t="s">
        <v>674</v>
      </c>
      <c r="AN1210">
        <v>-100.96922600000001</v>
      </c>
      <c r="AQ1210" t="s">
        <v>129</v>
      </c>
      <c r="AR1210">
        <v>-1</v>
      </c>
      <c r="AS1210">
        <v>2</v>
      </c>
      <c r="AT1210">
        <v>-64</v>
      </c>
      <c r="BB1210" t="str">
        <f t="shared" si="132"/>
        <v>1200</v>
      </c>
      <c r="BC1210">
        <v>1</v>
      </c>
      <c r="BD1210" t="str">
        <f t="shared" si="135"/>
        <v xml:space="preserve">N745MB  </v>
      </c>
      <c r="BE1210">
        <v>1</v>
      </c>
      <c r="BG1210">
        <v>0</v>
      </c>
      <c r="BH1210">
        <v>0</v>
      </c>
      <c r="BI1210">
        <v>0</v>
      </c>
      <c r="BL1210" t="s">
        <v>130</v>
      </c>
      <c r="BM1210">
        <v>1</v>
      </c>
      <c r="BN1210">
        <v>0</v>
      </c>
      <c r="BO1210">
        <v>0</v>
      </c>
      <c r="BP1210">
        <v>0</v>
      </c>
      <c r="BT1210">
        <v>0</v>
      </c>
      <c r="BU1210">
        <v>0</v>
      </c>
      <c r="CE1210" t="str">
        <f>"20:28:14.933"</f>
        <v>20:28:14.933</v>
      </c>
      <c r="CF1210">
        <v>933189014</v>
      </c>
      <c r="CS1210">
        <v>0</v>
      </c>
      <c r="CT1210">
        <v>2</v>
      </c>
      <c r="CU1210">
        <v>0</v>
      </c>
      <c r="CV1210">
        <v>2</v>
      </c>
      <c r="CW1210">
        <v>0</v>
      </c>
      <c r="CX1210">
        <v>4</v>
      </c>
      <c r="CY1210">
        <v>7</v>
      </c>
      <c r="CZ1210" t="s">
        <v>131</v>
      </c>
      <c r="DA1210">
        <v>116</v>
      </c>
      <c r="DB1210">
        <v>0</v>
      </c>
      <c r="DC1210" t="s">
        <v>132</v>
      </c>
      <c r="DD1210" t="s">
        <v>133</v>
      </c>
      <c r="DG1210">
        <v>14783229</v>
      </c>
      <c r="DI1210">
        <v>0</v>
      </c>
      <c r="DJ1210">
        <v>1</v>
      </c>
      <c r="DK1210">
        <v>1</v>
      </c>
      <c r="DL1210">
        <v>0</v>
      </c>
      <c r="DM1210">
        <v>0</v>
      </c>
      <c r="DN1210">
        <v>0</v>
      </c>
      <c r="DO1210">
        <v>0</v>
      </c>
      <c r="DP1210">
        <v>1</v>
      </c>
      <c r="DQ1210">
        <v>0</v>
      </c>
      <c r="DR1210">
        <v>0</v>
      </c>
      <c r="DS1210">
        <v>1</v>
      </c>
    </row>
    <row r="1211" spans="1:123" x14ac:dyDescent="0.25">
      <c r="A1211" t="str">
        <f>"11/29/2023 20:28:15.290"</f>
        <v>11/29/2023 20:28:15.290</v>
      </c>
      <c r="C1211" t="str">
        <f t="shared" si="134"/>
        <v>FFDF53C0</v>
      </c>
      <c r="D1211" t="s">
        <v>135</v>
      </c>
      <c r="E1211">
        <v>31</v>
      </c>
      <c r="H1211">
        <v>285</v>
      </c>
      <c r="I1211" t="s">
        <v>136</v>
      </c>
      <c r="J1211" t="s">
        <v>137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>"20:28:14.930"</f>
        <v>20:28:14.930</v>
      </c>
      <c r="T1211" t="str">
        <f>"20:28:14.830"</f>
        <v>20:28:14.830</v>
      </c>
      <c r="U1211" t="str">
        <f t="shared" si="131"/>
        <v>AA0632</v>
      </c>
      <c r="V1211">
        <v>0</v>
      </c>
      <c r="W1211">
        <v>0</v>
      </c>
      <c r="X1211">
        <v>2</v>
      </c>
      <c r="Y1211">
        <v>0</v>
      </c>
      <c r="AA1211">
        <v>0</v>
      </c>
      <c r="AB1211">
        <v>9</v>
      </c>
      <c r="AC1211">
        <v>3</v>
      </c>
      <c r="AD1211">
        <v>0</v>
      </c>
      <c r="AE1211">
        <v>10</v>
      </c>
      <c r="AF1211" t="s">
        <v>126</v>
      </c>
      <c r="AG1211">
        <v>0</v>
      </c>
      <c r="AH1211">
        <v>0</v>
      </c>
      <c r="AI1211">
        <v>2</v>
      </c>
      <c r="AJ1211">
        <v>0</v>
      </c>
      <c r="AK1211" t="s">
        <v>678</v>
      </c>
      <c r="AL1211">
        <v>31.923373000000002</v>
      </c>
      <c r="AM1211" t="s">
        <v>674</v>
      </c>
      <c r="AN1211">
        <v>-100.96922600000001</v>
      </c>
      <c r="AQ1211" t="s">
        <v>129</v>
      </c>
      <c r="AR1211">
        <v>-1</v>
      </c>
      <c r="AS1211">
        <v>2</v>
      </c>
      <c r="AT1211">
        <v>-64</v>
      </c>
      <c r="BB1211" t="str">
        <f t="shared" si="132"/>
        <v>1200</v>
      </c>
      <c r="BC1211">
        <v>1</v>
      </c>
      <c r="BD1211" t="str">
        <f t="shared" si="135"/>
        <v xml:space="preserve">N745MB  </v>
      </c>
      <c r="BE1211">
        <v>1</v>
      </c>
      <c r="BG1211">
        <v>0</v>
      </c>
      <c r="BH1211">
        <v>0</v>
      </c>
      <c r="BI1211">
        <v>0</v>
      </c>
      <c r="BL1211" t="s">
        <v>130</v>
      </c>
      <c r="BM1211">
        <v>1</v>
      </c>
      <c r="BN1211">
        <v>0</v>
      </c>
      <c r="BO1211">
        <v>0</v>
      </c>
      <c r="BP1211">
        <v>0</v>
      </c>
      <c r="BT1211">
        <v>0</v>
      </c>
      <c r="BU1211">
        <v>0</v>
      </c>
      <c r="CE1211" t="str">
        <f>"20:28:14.933"</f>
        <v>20:28:14.933</v>
      </c>
      <c r="CF1211">
        <v>933189014</v>
      </c>
      <c r="CS1211">
        <v>0</v>
      </c>
      <c r="CT1211">
        <v>2</v>
      </c>
      <c r="CU1211">
        <v>0</v>
      </c>
      <c r="CV1211">
        <v>2</v>
      </c>
      <c r="CW1211">
        <v>0</v>
      </c>
      <c r="CX1211">
        <v>4</v>
      </c>
      <c r="CY1211">
        <v>7</v>
      </c>
      <c r="CZ1211" t="s">
        <v>131</v>
      </c>
      <c r="DA1211">
        <v>116</v>
      </c>
      <c r="DB1211">
        <v>0</v>
      </c>
      <c r="DC1211" t="s">
        <v>132</v>
      </c>
      <c r="DD1211" t="s">
        <v>133</v>
      </c>
      <c r="DG1211">
        <v>14783229</v>
      </c>
      <c r="DI1211">
        <v>0</v>
      </c>
      <c r="DJ1211">
        <v>1</v>
      </c>
      <c r="DK1211">
        <v>1</v>
      </c>
      <c r="DL1211">
        <v>0</v>
      </c>
      <c r="DM1211">
        <v>0</v>
      </c>
      <c r="DN1211">
        <v>0</v>
      </c>
      <c r="DO1211">
        <v>0</v>
      </c>
      <c r="DP1211">
        <v>1</v>
      </c>
      <c r="DQ1211">
        <v>0</v>
      </c>
      <c r="DR1211">
        <v>0</v>
      </c>
      <c r="DS1211">
        <v>1</v>
      </c>
    </row>
    <row r="1212" spans="1:123" x14ac:dyDescent="0.25">
      <c r="A1212" t="str">
        <f>"11/29/2023 20:28:15.290"</f>
        <v>11/29/2023 20:28:15.290</v>
      </c>
      <c r="C1212" t="str">
        <f t="shared" si="134"/>
        <v>FFDF53C0</v>
      </c>
      <c r="D1212" t="s">
        <v>123</v>
      </c>
      <c r="E1212">
        <v>1</v>
      </c>
      <c r="F1212">
        <v>1001</v>
      </c>
      <c r="G1212" t="s">
        <v>134</v>
      </c>
      <c r="J1212" t="s">
        <v>125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>"20:28:14.930"</f>
        <v>20:28:14.930</v>
      </c>
      <c r="T1212" t="str">
        <f>"20:28:14.830"</f>
        <v>20:28:14.830</v>
      </c>
      <c r="U1212" t="str">
        <f t="shared" si="131"/>
        <v>AA0632</v>
      </c>
      <c r="V1212">
        <v>0</v>
      </c>
      <c r="W1212">
        <v>0</v>
      </c>
      <c r="X1212">
        <v>2</v>
      </c>
      <c r="Y1212">
        <v>0</v>
      </c>
      <c r="AA1212">
        <v>0</v>
      </c>
      <c r="AB1212">
        <v>9</v>
      </c>
      <c r="AC1212">
        <v>3</v>
      </c>
      <c r="AD1212">
        <v>0</v>
      </c>
      <c r="AE1212">
        <v>10</v>
      </c>
      <c r="AF1212" t="s">
        <v>126</v>
      </c>
      <c r="AG1212">
        <v>0</v>
      </c>
      <c r="AH1212">
        <v>0</v>
      </c>
      <c r="AI1212">
        <v>2</v>
      </c>
      <c r="AJ1212">
        <v>0</v>
      </c>
      <c r="AK1212" t="s">
        <v>678</v>
      </c>
      <c r="AL1212">
        <v>31.923373000000002</v>
      </c>
      <c r="AM1212" t="s">
        <v>674</v>
      </c>
      <c r="AN1212">
        <v>-100.96922600000001</v>
      </c>
      <c r="AQ1212" t="s">
        <v>129</v>
      </c>
      <c r="AR1212">
        <v>-1</v>
      </c>
      <c r="AS1212">
        <v>2</v>
      </c>
      <c r="AT1212">
        <v>-64</v>
      </c>
      <c r="BB1212" t="str">
        <f t="shared" si="132"/>
        <v>1200</v>
      </c>
      <c r="BC1212">
        <v>1</v>
      </c>
      <c r="BD1212" t="str">
        <f t="shared" si="135"/>
        <v xml:space="preserve">N745MB  </v>
      </c>
      <c r="BE1212">
        <v>1</v>
      </c>
      <c r="BG1212">
        <v>0</v>
      </c>
      <c r="BH1212">
        <v>0</v>
      </c>
      <c r="BI1212">
        <v>0</v>
      </c>
      <c r="BL1212" t="s">
        <v>130</v>
      </c>
      <c r="BM1212">
        <v>1</v>
      </c>
      <c r="BN1212">
        <v>0</v>
      </c>
      <c r="BO1212">
        <v>0</v>
      </c>
      <c r="BP1212">
        <v>0</v>
      </c>
      <c r="BT1212">
        <v>0</v>
      </c>
      <c r="BU1212">
        <v>0</v>
      </c>
      <c r="CE1212" t="str">
        <f>"20:28:14.933"</f>
        <v>20:28:14.933</v>
      </c>
      <c r="CF1212">
        <v>933189014</v>
      </c>
      <c r="CS1212">
        <v>0</v>
      </c>
      <c r="CT1212">
        <v>2</v>
      </c>
      <c r="CU1212">
        <v>0</v>
      </c>
      <c r="CV1212">
        <v>2</v>
      </c>
      <c r="CW1212">
        <v>0</v>
      </c>
      <c r="CX1212">
        <v>4</v>
      </c>
      <c r="CY1212">
        <v>7</v>
      </c>
      <c r="CZ1212" t="s">
        <v>131</v>
      </c>
      <c r="DA1212">
        <v>116</v>
      </c>
      <c r="DB1212">
        <v>0</v>
      </c>
      <c r="DC1212" t="s">
        <v>132</v>
      </c>
      <c r="DD1212" t="s">
        <v>133</v>
      </c>
      <c r="DG1212">
        <v>14783229</v>
      </c>
      <c r="DI1212">
        <v>0</v>
      </c>
      <c r="DJ1212">
        <v>1</v>
      </c>
      <c r="DK1212">
        <v>1</v>
      </c>
      <c r="DL1212">
        <v>0</v>
      </c>
      <c r="DM1212">
        <v>0</v>
      </c>
      <c r="DN1212">
        <v>0</v>
      </c>
      <c r="DO1212">
        <v>0</v>
      </c>
      <c r="DP1212">
        <v>1</v>
      </c>
      <c r="DQ1212">
        <v>0</v>
      </c>
      <c r="DR1212">
        <v>0</v>
      </c>
      <c r="DS1212">
        <v>1</v>
      </c>
    </row>
    <row r="1213" spans="1:123" x14ac:dyDescent="0.25">
      <c r="A1213" t="str">
        <f>"11/29/2023 20:28:16.712"</f>
        <v>11/29/2023 20:28:16.712</v>
      </c>
      <c r="C1213" t="str">
        <f t="shared" si="134"/>
        <v>FFDF53C0</v>
      </c>
      <c r="D1213" t="s">
        <v>138</v>
      </c>
      <c r="E1213">
        <v>3</v>
      </c>
      <c r="H1213">
        <v>160</v>
      </c>
      <c r="I1213" t="s">
        <v>124</v>
      </c>
      <c r="J1213" t="s">
        <v>139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 t="shared" ref="S1213:T1216" si="137">"20:28:16.273"</f>
        <v>20:28:16.273</v>
      </c>
      <c r="T1213" t="str">
        <f t="shared" si="137"/>
        <v>20:28:16.273</v>
      </c>
      <c r="U1213" t="str">
        <f t="shared" si="131"/>
        <v>AA0632</v>
      </c>
      <c r="V1213">
        <v>0</v>
      </c>
      <c r="W1213">
        <v>0</v>
      </c>
      <c r="X1213">
        <v>2</v>
      </c>
      <c r="Y1213">
        <v>0</v>
      </c>
      <c r="AA1213">
        <v>0</v>
      </c>
      <c r="AB1213">
        <v>9</v>
      </c>
      <c r="AC1213">
        <v>3</v>
      </c>
      <c r="AD1213">
        <v>0</v>
      </c>
      <c r="AE1213">
        <v>10</v>
      </c>
      <c r="AF1213" t="s">
        <v>126</v>
      </c>
      <c r="AG1213">
        <v>0</v>
      </c>
      <c r="AH1213">
        <v>0</v>
      </c>
      <c r="AI1213">
        <v>2</v>
      </c>
      <c r="AJ1213">
        <v>0</v>
      </c>
      <c r="AK1213" t="s">
        <v>502</v>
      </c>
      <c r="AL1213">
        <v>31.923437</v>
      </c>
      <c r="AM1213" t="s">
        <v>674</v>
      </c>
      <c r="AN1213">
        <v>-100.96922600000001</v>
      </c>
      <c r="AQ1213" t="s">
        <v>129</v>
      </c>
      <c r="AR1213">
        <v>-1</v>
      </c>
      <c r="AS1213">
        <v>2</v>
      </c>
      <c r="AT1213">
        <v>-64</v>
      </c>
      <c r="BB1213" t="str">
        <f t="shared" si="132"/>
        <v>1200</v>
      </c>
      <c r="BC1213">
        <v>1</v>
      </c>
      <c r="BD1213" t="str">
        <f t="shared" si="135"/>
        <v xml:space="preserve">N745MB  </v>
      </c>
      <c r="BE1213">
        <v>1</v>
      </c>
      <c r="BG1213">
        <v>0</v>
      </c>
      <c r="BH1213">
        <v>0</v>
      </c>
      <c r="BI1213">
        <v>0</v>
      </c>
      <c r="BL1213" t="s">
        <v>130</v>
      </c>
      <c r="BM1213">
        <v>1</v>
      </c>
      <c r="BN1213">
        <v>0</v>
      </c>
      <c r="BO1213">
        <v>0</v>
      </c>
      <c r="BP1213">
        <v>0</v>
      </c>
      <c r="BT1213">
        <v>0</v>
      </c>
      <c r="BU1213">
        <v>0</v>
      </c>
      <c r="CE1213" t="str">
        <f>"20:28:16.275"</f>
        <v>20:28:16.275</v>
      </c>
      <c r="CF1213">
        <v>275094708</v>
      </c>
      <c r="CS1213">
        <v>0</v>
      </c>
      <c r="CT1213">
        <v>2</v>
      </c>
      <c r="CU1213">
        <v>0</v>
      </c>
      <c r="CV1213">
        <v>2</v>
      </c>
      <c r="CW1213">
        <v>0</v>
      </c>
      <c r="CX1213">
        <v>4</v>
      </c>
      <c r="CY1213">
        <v>7</v>
      </c>
      <c r="CZ1213" t="s">
        <v>131</v>
      </c>
      <c r="DA1213">
        <v>116</v>
      </c>
      <c r="DB1213">
        <v>0</v>
      </c>
      <c r="DC1213" t="s">
        <v>132</v>
      </c>
      <c r="DD1213" t="s">
        <v>133</v>
      </c>
      <c r="DG1213">
        <v>14784366</v>
      </c>
      <c r="DI1213">
        <v>0</v>
      </c>
      <c r="DJ1213">
        <v>1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1</v>
      </c>
      <c r="DQ1213">
        <v>0</v>
      </c>
      <c r="DR1213">
        <v>0</v>
      </c>
      <c r="DS1213">
        <v>1</v>
      </c>
    </row>
    <row r="1214" spans="1:123" x14ac:dyDescent="0.25">
      <c r="A1214" t="str">
        <f>"11/29/2023 20:28:16.759"</f>
        <v>11/29/2023 20:28:16.759</v>
      </c>
      <c r="C1214" t="str">
        <f t="shared" si="134"/>
        <v>FFDF53C0</v>
      </c>
      <c r="D1214" t="s">
        <v>123</v>
      </c>
      <c r="E1214">
        <v>14</v>
      </c>
      <c r="F1214">
        <v>1014</v>
      </c>
      <c r="G1214" t="s">
        <v>124</v>
      </c>
      <c r="J1214" t="s">
        <v>125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 t="shared" si="137"/>
        <v>20:28:16.273</v>
      </c>
      <c r="T1214" t="str">
        <f t="shared" si="137"/>
        <v>20:28:16.273</v>
      </c>
      <c r="U1214" t="str">
        <f t="shared" si="131"/>
        <v>AA0632</v>
      </c>
      <c r="V1214">
        <v>0</v>
      </c>
      <c r="W1214">
        <v>0</v>
      </c>
      <c r="X1214">
        <v>2</v>
      </c>
      <c r="Y1214">
        <v>0</v>
      </c>
      <c r="AA1214">
        <v>0</v>
      </c>
      <c r="AB1214">
        <v>9</v>
      </c>
      <c r="AC1214">
        <v>3</v>
      </c>
      <c r="AD1214">
        <v>0</v>
      </c>
      <c r="AE1214">
        <v>10</v>
      </c>
      <c r="AF1214" t="s">
        <v>126</v>
      </c>
      <c r="AG1214">
        <v>0</v>
      </c>
      <c r="AH1214">
        <v>0</v>
      </c>
      <c r="AI1214">
        <v>2</v>
      </c>
      <c r="AJ1214">
        <v>0</v>
      </c>
      <c r="AK1214" t="s">
        <v>502</v>
      </c>
      <c r="AL1214">
        <v>31.923437</v>
      </c>
      <c r="AM1214" t="s">
        <v>674</v>
      </c>
      <c r="AN1214">
        <v>-100.96922600000001</v>
      </c>
      <c r="AQ1214" t="s">
        <v>129</v>
      </c>
      <c r="AR1214">
        <v>-1</v>
      </c>
      <c r="AS1214">
        <v>2</v>
      </c>
      <c r="AT1214">
        <v>-64</v>
      </c>
      <c r="BB1214" t="str">
        <f t="shared" si="132"/>
        <v>1200</v>
      </c>
      <c r="BC1214">
        <v>1</v>
      </c>
      <c r="BD1214" t="str">
        <f t="shared" si="135"/>
        <v xml:space="preserve">N745MB  </v>
      </c>
      <c r="BE1214">
        <v>1</v>
      </c>
      <c r="BG1214">
        <v>0</v>
      </c>
      <c r="BH1214">
        <v>0</v>
      </c>
      <c r="BI1214">
        <v>0</v>
      </c>
      <c r="BL1214" t="s">
        <v>130</v>
      </c>
      <c r="BM1214">
        <v>1</v>
      </c>
      <c r="BN1214">
        <v>0</v>
      </c>
      <c r="BO1214">
        <v>0</v>
      </c>
      <c r="BP1214">
        <v>0</v>
      </c>
      <c r="BT1214">
        <v>0</v>
      </c>
      <c r="BU1214">
        <v>0</v>
      </c>
      <c r="CE1214" t="str">
        <f>"20:28:16.275"</f>
        <v>20:28:16.275</v>
      </c>
      <c r="CF1214">
        <v>275094708</v>
      </c>
      <c r="CS1214">
        <v>0</v>
      </c>
      <c r="CT1214">
        <v>2</v>
      </c>
      <c r="CU1214">
        <v>0</v>
      </c>
      <c r="CV1214">
        <v>2</v>
      </c>
      <c r="CW1214">
        <v>0</v>
      </c>
      <c r="CX1214">
        <v>4</v>
      </c>
      <c r="CY1214">
        <v>7</v>
      </c>
      <c r="CZ1214" t="s">
        <v>131</v>
      </c>
      <c r="DA1214">
        <v>116</v>
      </c>
      <c r="DB1214">
        <v>0</v>
      </c>
      <c r="DC1214" t="s">
        <v>132</v>
      </c>
      <c r="DD1214" t="s">
        <v>133</v>
      </c>
      <c r="DG1214">
        <v>14784366</v>
      </c>
      <c r="DI1214">
        <v>0</v>
      </c>
      <c r="DJ1214">
        <v>1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1</v>
      </c>
      <c r="DQ1214">
        <v>0</v>
      </c>
      <c r="DR1214">
        <v>0</v>
      </c>
      <c r="DS1214">
        <v>1</v>
      </c>
    </row>
    <row r="1215" spans="1:123" x14ac:dyDescent="0.25">
      <c r="A1215" t="str">
        <f>"11/29/2023 20:28:16.790"</f>
        <v>11/29/2023 20:28:16.790</v>
      </c>
      <c r="C1215" t="str">
        <f t="shared" si="134"/>
        <v>FFDF53C0</v>
      </c>
      <c r="D1215" t="s">
        <v>123</v>
      </c>
      <c r="E1215">
        <v>1</v>
      </c>
      <c r="F1215">
        <v>1001</v>
      </c>
      <c r="G1215" t="s">
        <v>134</v>
      </c>
      <c r="J1215" t="s">
        <v>125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 t="shared" si="137"/>
        <v>20:28:16.273</v>
      </c>
      <c r="T1215" t="str">
        <f t="shared" si="137"/>
        <v>20:28:16.273</v>
      </c>
      <c r="U1215" t="str">
        <f t="shared" si="131"/>
        <v>AA0632</v>
      </c>
      <c r="V1215">
        <v>0</v>
      </c>
      <c r="W1215">
        <v>0</v>
      </c>
      <c r="X1215">
        <v>2</v>
      </c>
      <c r="Y1215">
        <v>0</v>
      </c>
      <c r="AA1215">
        <v>0</v>
      </c>
      <c r="AB1215">
        <v>9</v>
      </c>
      <c r="AC1215">
        <v>3</v>
      </c>
      <c r="AD1215">
        <v>0</v>
      </c>
      <c r="AE1215">
        <v>10</v>
      </c>
      <c r="AF1215" t="s">
        <v>126</v>
      </c>
      <c r="AG1215">
        <v>0</v>
      </c>
      <c r="AH1215">
        <v>0</v>
      </c>
      <c r="AI1215">
        <v>2</v>
      </c>
      <c r="AJ1215">
        <v>0</v>
      </c>
      <c r="AK1215" t="s">
        <v>502</v>
      </c>
      <c r="AL1215">
        <v>31.923437</v>
      </c>
      <c r="AM1215" t="s">
        <v>674</v>
      </c>
      <c r="AN1215">
        <v>-100.96922600000001</v>
      </c>
      <c r="AQ1215" t="s">
        <v>129</v>
      </c>
      <c r="AR1215">
        <v>-1</v>
      </c>
      <c r="AS1215">
        <v>2</v>
      </c>
      <c r="AT1215">
        <v>-64</v>
      </c>
      <c r="BB1215" t="str">
        <f t="shared" si="132"/>
        <v>1200</v>
      </c>
      <c r="BC1215">
        <v>1</v>
      </c>
      <c r="BD1215" t="str">
        <f t="shared" si="135"/>
        <v xml:space="preserve">N745MB  </v>
      </c>
      <c r="BE1215">
        <v>1</v>
      </c>
      <c r="BG1215">
        <v>0</v>
      </c>
      <c r="BH1215">
        <v>0</v>
      </c>
      <c r="BI1215">
        <v>0</v>
      </c>
      <c r="BL1215" t="s">
        <v>130</v>
      </c>
      <c r="BM1215">
        <v>1</v>
      </c>
      <c r="BN1215">
        <v>0</v>
      </c>
      <c r="BO1215">
        <v>0</v>
      </c>
      <c r="BP1215">
        <v>0</v>
      </c>
      <c r="BT1215">
        <v>0</v>
      </c>
      <c r="BU1215">
        <v>0</v>
      </c>
      <c r="CE1215" t="str">
        <f>"20:28:16.275"</f>
        <v>20:28:16.275</v>
      </c>
      <c r="CF1215">
        <v>275094708</v>
      </c>
      <c r="CS1215">
        <v>0</v>
      </c>
      <c r="CT1215">
        <v>2</v>
      </c>
      <c r="CU1215">
        <v>0</v>
      </c>
      <c r="CV1215">
        <v>2</v>
      </c>
      <c r="CW1215">
        <v>0</v>
      </c>
      <c r="CX1215">
        <v>4</v>
      </c>
      <c r="CY1215">
        <v>7</v>
      </c>
      <c r="CZ1215" t="s">
        <v>131</v>
      </c>
      <c r="DA1215">
        <v>116</v>
      </c>
      <c r="DB1215">
        <v>0</v>
      </c>
      <c r="DC1215" t="s">
        <v>132</v>
      </c>
      <c r="DD1215" t="s">
        <v>133</v>
      </c>
      <c r="DG1215">
        <v>14784366</v>
      </c>
      <c r="DI1215">
        <v>0</v>
      </c>
      <c r="DJ1215">
        <v>1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1</v>
      </c>
      <c r="DQ1215">
        <v>0</v>
      </c>
      <c r="DR1215">
        <v>0</v>
      </c>
      <c r="DS1215">
        <v>1</v>
      </c>
    </row>
    <row r="1216" spans="1:123" x14ac:dyDescent="0.25">
      <c r="A1216" t="str">
        <f>"11/29/2023 20:28:16.790"</f>
        <v>11/29/2023 20:28:16.790</v>
      </c>
      <c r="C1216" t="str">
        <f t="shared" si="134"/>
        <v>FFDF53C0</v>
      </c>
      <c r="D1216" t="s">
        <v>135</v>
      </c>
      <c r="E1216">
        <v>31</v>
      </c>
      <c r="H1216">
        <v>285</v>
      </c>
      <c r="I1216" t="s">
        <v>136</v>
      </c>
      <c r="J1216" t="s">
        <v>137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 t="shared" si="137"/>
        <v>20:28:16.273</v>
      </c>
      <c r="T1216" t="str">
        <f t="shared" si="137"/>
        <v>20:28:16.273</v>
      </c>
      <c r="U1216" t="str">
        <f t="shared" si="131"/>
        <v>AA0632</v>
      </c>
      <c r="V1216">
        <v>0</v>
      </c>
      <c r="W1216">
        <v>0</v>
      </c>
      <c r="X1216">
        <v>2</v>
      </c>
      <c r="Y1216">
        <v>0</v>
      </c>
      <c r="AA1216">
        <v>0</v>
      </c>
      <c r="AB1216">
        <v>9</v>
      </c>
      <c r="AC1216">
        <v>3</v>
      </c>
      <c r="AD1216">
        <v>0</v>
      </c>
      <c r="AE1216">
        <v>10</v>
      </c>
      <c r="AF1216" t="s">
        <v>126</v>
      </c>
      <c r="AG1216">
        <v>0</v>
      </c>
      <c r="AH1216">
        <v>0</v>
      </c>
      <c r="AI1216">
        <v>2</v>
      </c>
      <c r="AJ1216">
        <v>0</v>
      </c>
      <c r="AK1216" t="s">
        <v>502</v>
      </c>
      <c r="AL1216">
        <v>31.923437</v>
      </c>
      <c r="AM1216" t="s">
        <v>674</v>
      </c>
      <c r="AN1216">
        <v>-100.96922600000001</v>
      </c>
      <c r="AQ1216" t="s">
        <v>129</v>
      </c>
      <c r="AR1216">
        <v>-1</v>
      </c>
      <c r="AS1216">
        <v>2</v>
      </c>
      <c r="AT1216">
        <v>-64</v>
      </c>
      <c r="BB1216" t="str">
        <f t="shared" si="132"/>
        <v>1200</v>
      </c>
      <c r="BC1216">
        <v>1</v>
      </c>
      <c r="BD1216" t="str">
        <f t="shared" si="135"/>
        <v xml:space="preserve">N745MB  </v>
      </c>
      <c r="BE1216">
        <v>1</v>
      </c>
      <c r="BG1216">
        <v>0</v>
      </c>
      <c r="BH1216">
        <v>0</v>
      </c>
      <c r="BI1216">
        <v>0</v>
      </c>
      <c r="BL1216" t="s">
        <v>130</v>
      </c>
      <c r="BM1216">
        <v>1</v>
      </c>
      <c r="BN1216">
        <v>0</v>
      </c>
      <c r="BO1216">
        <v>0</v>
      </c>
      <c r="BP1216">
        <v>0</v>
      </c>
      <c r="BT1216">
        <v>0</v>
      </c>
      <c r="BU1216">
        <v>0</v>
      </c>
      <c r="CE1216" t="str">
        <f>"20:28:16.275"</f>
        <v>20:28:16.275</v>
      </c>
      <c r="CF1216">
        <v>275094708</v>
      </c>
      <c r="CS1216">
        <v>0</v>
      </c>
      <c r="CT1216">
        <v>2</v>
      </c>
      <c r="CU1216">
        <v>0</v>
      </c>
      <c r="CV1216">
        <v>2</v>
      </c>
      <c r="CW1216">
        <v>0</v>
      </c>
      <c r="CX1216">
        <v>4</v>
      </c>
      <c r="CY1216">
        <v>7</v>
      </c>
      <c r="CZ1216" t="s">
        <v>131</v>
      </c>
      <c r="DA1216">
        <v>116</v>
      </c>
      <c r="DB1216">
        <v>0</v>
      </c>
      <c r="DC1216" t="s">
        <v>132</v>
      </c>
      <c r="DD1216" t="s">
        <v>133</v>
      </c>
      <c r="DG1216">
        <v>14784366</v>
      </c>
      <c r="DI1216">
        <v>0</v>
      </c>
      <c r="DJ1216">
        <v>1</v>
      </c>
      <c r="DK1216">
        <v>1</v>
      </c>
      <c r="DL1216">
        <v>0</v>
      </c>
      <c r="DM1216">
        <v>0</v>
      </c>
      <c r="DN1216">
        <v>0</v>
      </c>
      <c r="DO1216">
        <v>0</v>
      </c>
      <c r="DP1216">
        <v>1</v>
      </c>
      <c r="DQ1216">
        <v>0</v>
      </c>
      <c r="DR1216">
        <v>0</v>
      </c>
      <c r="DS1216">
        <v>1</v>
      </c>
    </row>
    <row r="1217" spans="1:123" x14ac:dyDescent="0.25">
      <c r="A1217" t="str">
        <f>"11/29/2023 20:28:18.181"</f>
        <v>11/29/2023 20:28:18.181</v>
      </c>
      <c r="C1217" t="str">
        <f t="shared" si="134"/>
        <v>FFDF53C0</v>
      </c>
      <c r="D1217" t="s">
        <v>138</v>
      </c>
      <c r="E1217">
        <v>3</v>
      </c>
      <c r="H1217">
        <v>160</v>
      </c>
      <c r="I1217" t="s">
        <v>124</v>
      </c>
      <c r="J1217" t="s">
        <v>139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>"20:28:17.727"</f>
        <v>20:28:17.727</v>
      </c>
      <c r="T1217" t="str">
        <f>"20:28:17.227"</f>
        <v>20:28:17.227</v>
      </c>
      <c r="U1217" t="str">
        <f t="shared" si="131"/>
        <v>AA0632</v>
      </c>
      <c r="V1217">
        <v>0</v>
      </c>
      <c r="W1217">
        <v>0</v>
      </c>
      <c r="X1217">
        <v>2</v>
      </c>
      <c r="Y1217">
        <v>0</v>
      </c>
      <c r="AA1217">
        <v>0</v>
      </c>
      <c r="AB1217">
        <v>9</v>
      </c>
      <c r="AC1217">
        <v>3</v>
      </c>
      <c r="AD1217">
        <v>0</v>
      </c>
      <c r="AE1217">
        <v>10</v>
      </c>
      <c r="AF1217" t="s">
        <v>126</v>
      </c>
      <c r="AG1217">
        <v>0</v>
      </c>
      <c r="AH1217">
        <v>0</v>
      </c>
      <c r="AI1217">
        <v>2</v>
      </c>
      <c r="AJ1217">
        <v>0</v>
      </c>
      <c r="AK1217" t="s">
        <v>502</v>
      </c>
      <c r="AL1217">
        <v>31.923437</v>
      </c>
      <c r="AM1217" t="s">
        <v>674</v>
      </c>
      <c r="AN1217">
        <v>-100.96922600000001</v>
      </c>
      <c r="AQ1217" t="s">
        <v>129</v>
      </c>
      <c r="AR1217">
        <v>-1</v>
      </c>
      <c r="AS1217">
        <v>2</v>
      </c>
      <c r="AT1217">
        <v>-64</v>
      </c>
      <c r="BB1217" t="str">
        <f t="shared" si="132"/>
        <v>1200</v>
      </c>
      <c r="BC1217">
        <v>1</v>
      </c>
      <c r="BD1217" t="str">
        <f t="shared" si="135"/>
        <v xml:space="preserve">N745MB  </v>
      </c>
      <c r="BE1217">
        <v>1</v>
      </c>
      <c r="BG1217">
        <v>0</v>
      </c>
      <c r="BH1217">
        <v>0</v>
      </c>
      <c r="BI1217">
        <v>0</v>
      </c>
      <c r="BL1217" t="s">
        <v>130</v>
      </c>
      <c r="BM1217">
        <v>1</v>
      </c>
      <c r="BN1217">
        <v>0</v>
      </c>
      <c r="BO1217">
        <v>0</v>
      </c>
      <c r="BP1217">
        <v>0</v>
      </c>
      <c r="BT1217">
        <v>0</v>
      </c>
      <c r="BU1217">
        <v>0</v>
      </c>
      <c r="CE1217" t="str">
        <f>"20:28:17.733"</f>
        <v>20:28:17.733</v>
      </c>
      <c r="CF1217">
        <v>732998820</v>
      </c>
      <c r="CS1217">
        <v>0</v>
      </c>
      <c r="CT1217">
        <v>2</v>
      </c>
      <c r="CU1217">
        <v>0</v>
      </c>
      <c r="CV1217">
        <v>2</v>
      </c>
      <c r="CW1217">
        <v>0</v>
      </c>
      <c r="CX1217">
        <v>3</v>
      </c>
      <c r="CY1217">
        <v>7</v>
      </c>
      <c r="CZ1217" t="s">
        <v>131</v>
      </c>
      <c r="DA1217">
        <v>116</v>
      </c>
      <c r="DB1217">
        <v>3</v>
      </c>
      <c r="DC1217" t="s">
        <v>132</v>
      </c>
      <c r="DD1217" t="s">
        <v>133</v>
      </c>
      <c r="DG1217">
        <v>8485525</v>
      </c>
      <c r="DI1217">
        <v>0</v>
      </c>
      <c r="DJ1217">
        <v>1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1</v>
      </c>
      <c r="DQ1217">
        <v>0</v>
      </c>
      <c r="DR1217">
        <v>0</v>
      </c>
      <c r="DS1217">
        <v>1</v>
      </c>
    </row>
    <row r="1218" spans="1:123" x14ac:dyDescent="0.25">
      <c r="A1218" t="str">
        <f>"11/29/2023 20:28:18.181"</f>
        <v>11/29/2023 20:28:18.181</v>
      </c>
      <c r="C1218" t="str">
        <f t="shared" si="134"/>
        <v>FFDF53C0</v>
      </c>
      <c r="D1218" t="s">
        <v>123</v>
      </c>
      <c r="E1218">
        <v>14</v>
      </c>
      <c r="F1218">
        <v>1014</v>
      </c>
      <c r="G1218" t="s">
        <v>124</v>
      </c>
      <c r="J1218" t="s">
        <v>125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>"20:28:17.727"</f>
        <v>20:28:17.727</v>
      </c>
      <c r="T1218" t="str">
        <f>"20:28:17.227"</f>
        <v>20:28:17.227</v>
      </c>
      <c r="U1218" t="str">
        <f t="shared" ref="U1218:U1281" si="138">"AA0632"</f>
        <v>AA0632</v>
      </c>
      <c r="V1218">
        <v>0</v>
      </c>
      <c r="W1218">
        <v>0</v>
      </c>
      <c r="X1218">
        <v>2</v>
      </c>
      <c r="Y1218">
        <v>0</v>
      </c>
      <c r="AA1218">
        <v>0</v>
      </c>
      <c r="AB1218">
        <v>9</v>
      </c>
      <c r="AC1218">
        <v>3</v>
      </c>
      <c r="AD1218">
        <v>0</v>
      </c>
      <c r="AE1218">
        <v>10</v>
      </c>
      <c r="AF1218" t="s">
        <v>126</v>
      </c>
      <c r="AG1218">
        <v>0</v>
      </c>
      <c r="AH1218">
        <v>0</v>
      </c>
      <c r="AI1218">
        <v>2</v>
      </c>
      <c r="AJ1218">
        <v>0</v>
      </c>
      <c r="AK1218" t="s">
        <v>502</v>
      </c>
      <c r="AL1218">
        <v>31.923437</v>
      </c>
      <c r="AM1218" t="s">
        <v>674</v>
      </c>
      <c r="AN1218">
        <v>-100.96922600000001</v>
      </c>
      <c r="AQ1218" t="s">
        <v>129</v>
      </c>
      <c r="AR1218">
        <v>-1</v>
      </c>
      <c r="AS1218">
        <v>2</v>
      </c>
      <c r="AT1218">
        <v>-64</v>
      </c>
      <c r="BB1218" t="str">
        <f t="shared" ref="BB1218:BB1281" si="139">"1200"</f>
        <v>1200</v>
      </c>
      <c r="BC1218">
        <v>1</v>
      </c>
      <c r="BD1218" t="str">
        <f t="shared" si="135"/>
        <v xml:space="preserve">N745MB  </v>
      </c>
      <c r="BE1218">
        <v>1</v>
      </c>
      <c r="BG1218">
        <v>0</v>
      </c>
      <c r="BH1218">
        <v>0</v>
      </c>
      <c r="BI1218">
        <v>0</v>
      </c>
      <c r="BL1218" t="s">
        <v>130</v>
      </c>
      <c r="BM1218">
        <v>1</v>
      </c>
      <c r="BN1218">
        <v>0</v>
      </c>
      <c r="BO1218">
        <v>0</v>
      </c>
      <c r="BP1218">
        <v>0</v>
      </c>
      <c r="BT1218">
        <v>0</v>
      </c>
      <c r="BU1218">
        <v>0</v>
      </c>
      <c r="CE1218" t="str">
        <f>"20:28:17.733"</f>
        <v>20:28:17.733</v>
      </c>
      <c r="CF1218">
        <v>732998820</v>
      </c>
      <c r="CS1218">
        <v>0</v>
      </c>
      <c r="CT1218">
        <v>2</v>
      </c>
      <c r="CU1218">
        <v>0</v>
      </c>
      <c r="CV1218">
        <v>2</v>
      </c>
      <c r="CW1218">
        <v>0</v>
      </c>
      <c r="CX1218">
        <v>3</v>
      </c>
      <c r="CY1218">
        <v>7</v>
      </c>
      <c r="CZ1218" t="s">
        <v>131</v>
      </c>
      <c r="DA1218">
        <v>116</v>
      </c>
      <c r="DB1218">
        <v>3</v>
      </c>
      <c r="DC1218" t="s">
        <v>132</v>
      </c>
      <c r="DD1218" t="s">
        <v>133</v>
      </c>
      <c r="DG1218">
        <v>8485525</v>
      </c>
      <c r="DI1218">
        <v>0</v>
      </c>
      <c r="DJ1218">
        <v>1</v>
      </c>
      <c r="DK1218">
        <v>1</v>
      </c>
      <c r="DL1218">
        <v>0</v>
      </c>
      <c r="DM1218">
        <v>0</v>
      </c>
      <c r="DN1218">
        <v>0</v>
      </c>
      <c r="DO1218">
        <v>0</v>
      </c>
      <c r="DP1218">
        <v>1</v>
      </c>
      <c r="DQ1218">
        <v>0</v>
      </c>
      <c r="DR1218">
        <v>0</v>
      </c>
      <c r="DS1218">
        <v>1</v>
      </c>
    </row>
    <row r="1219" spans="1:123" x14ac:dyDescent="0.25">
      <c r="A1219" t="str">
        <f>"11/29/2023 20:28:18.181"</f>
        <v>11/29/2023 20:28:18.181</v>
      </c>
      <c r="C1219" t="str">
        <f t="shared" si="134"/>
        <v>FFDF53C0</v>
      </c>
      <c r="D1219" t="s">
        <v>123</v>
      </c>
      <c r="E1219">
        <v>1</v>
      </c>
      <c r="F1219">
        <v>1001</v>
      </c>
      <c r="G1219" t="s">
        <v>134</v>
      </c>
      <c r="J1219" t="s">
        <v>125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>"20:28:17.727"</f>
        <v>20:28:17.727</v>
      </c>
      <c r="T1219" t="str">
        <f>"20:28:17.227"</f>
        <v>20:28:17.227</v>
      </c>
      <c r="U1219" t="str">
        <f t="shared" si="138"/>
        <v>AA0632</v>
      </c>
      <c r="V1219">
        <v>0</v>
      </c>
      <c r="W1219">
        <v>0</v>
      </c>
      <c r="X1219">
        <v>2</v>
      </c>
      <c r="Y1219">
        <v>0</v>
      </c>
      <c r="AA1219">
        <v>0</v>
      </c>
      <c r="AB1219">
        <v>9</v>
      </c>
      <c r="AC1219">
        <v>3</v>
      </c>
      <c r="AD1219">
        <v>0</v>
      </c>
      <c r="AE1219">
        <v>10</v>
      </c>
      <c r="AF1219" t="s">
        <v>126</v>
      </c>
      <c r="AG1219">
        <v>0</v>
      </c>
      <c r="AH1219">
        <v>0</v>
      </c>
      <c r="AI1219">
        <v>2</v>
      </c>
      <c r="AJ1219">
        <v>0</v>
      </c>
      <c r="AK1219" t="s">
        <v>502</v>
      </c>
      <c r="AL1219">
        <v>31.923437</v>
      </c>
      <c r="AM1219" t="s">
        <v>674</v>
      </c>
      <c r="AN1219">
        <v>-100.96922600000001</v>
      </c>
      <c r="AQ1219" t="s">
        <v>129</v>
      </c>
      <c r="AR1219">
        <v>-1</v>
      </c>
      <c r="AS1219">
        <v>2</v>
      </c>
      <c r="AT1219">
        <v>-64</v>
      </c>
      <c r="BB1219" t="str">
        <f t="shared" si="139"/>
        <v>1200</v>
      </c>
      <c r="BC1219">
        <v>1</v>
      </c>
      <c r="BD1219" t="str">
        <f t="shared" si="135"/>
        <v xml:space="preserve">N745MB  </v>
      </c>
      <c r="BE1219">
        <v>1</v>
      </c>
      <c r="BG1219">
        <v>0</v>
      </c>
      <c r="BH1219">
        <v>0</v>
      </c>
      <c r="BI1219">
        <v>0</v>
      </c>
      <c r="BL1219" t="s">
        <v>130</v>
      </c>
      <c r="BM1219">
        <v>1</v>
      </c>
      <c r="BN1219">
        <v>0</v>
      </c>
      <c r="BO1219">
        <v>0</v>
      </c>
      <c r="BP1219">
        <v>0</v>
      </c>
      <c r="BT1219">
        <v>0</v>
      </c>
      <c r="BU1219">
        <v>0</v>
      </c>
      <c r="CE1219" t="str">
        <f>"20:28:17.733"</f>
        <v>20:28:17.733</v>
      </c>
      <c r="CF1219">
        <v>732998820</v>
      </c>
      <c r="CS1219">
        <v>0</v>
      </c>
      <c r="CT1219">
        <v>2</v>
      </c>
      <c r="CU1219">
        <v>0</v>
      </c>
      <c r="CV1219">
        <v>2</v>
      </c>
      <c r="CW1219">
        <v>0</v>
      </c>
      <c r="CX1219">
        <v>3</v>
      </c>
      <c r="CY1219">
        <v>7</v>
      </c>
      <c r="CZ1219" t="s">
        <v>131</v>
      </c>
      <c r="DA1219">
        <v>116</v>
      </c>
      <c r="DB1219">
        <v>3</v>
      </c>
      <c r="DC1219" t="s">
        <v>132</v>
      </c>
      <c r="DD1219" t="s">
        <v>133</v>
      </c>
      <c r="DG1219">
        <v>8485525</v>
      </c>
      <c r="DI1219">
        <v>0</v>
      </c>
      <c r="DJ1219">
        <v>1</v>
      </c>
      <c r="DK1219">
        <v>1</v>
      </c>
      <c r="DL1219">
        <v>0</v>
      </c>
      <c r="DM1219">
        <v>0</v>
      </c>
      <c r="DN1219">
        <v>0</v>
      </c>
      <c r="DO1219">
        <v>0</v>
      </c>
      <c r="DP1219">
        <v>1</v>
      </c>
      <c r="DQ1219">
        <v>0</v>
      </c>
      <c r="DR1219">
        <v>0</v>
      </c>
      <c r="DS1219">
        <v>1</v>
      </c>
    </row>
    <row r="1220" spans="1:123" x14ac:dyDescent="0.25">
      <c r="A1220" t="str">
        <f>"11/29/2023 20:28:18.181"</f>
        <v>11/29/2023 20:28:18.181</v>
      </c>
      <c r="C1220" t="str">
        <f t="shared" si="134"/>
        <v>FFDF53C0</v>
      </c>
      <c r="D1220" t="s">
        <v>135</v>
      </c>
      <c r="E1220">
        <v>31</v>
      </c>
      <c r="H1220">
        <v>285</v>
      </c>
      <c r="I1220" t="s">
        <v>136</v>
      </c>
      <c r="J1220" t="s">
        <v>137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>"20:28:17.727"</f>
        <v>20:28:17.727</v>
      </c>
      <c r="T1220" t="str">
        <f>"20:28:17.227"</f>
        <v>20:28:17.227</v>
      </c>
      <c r="U1220" t="str">
        <f t="shared" si="138"/>
        <v>AA0632</v>
      </c>
      <c r="V1220">
        <v>0</v>
      </c>
      <c r="W1220">
        <v>0</v>
      </c>
      <c r="X1220">
        <v>2</v>
      </c>
      <c r="Y1220">
        <v>0</v>
      </c>
      <c r="AA1220">
        <v>0</v>
      </c>
      <c r="AB1220">
        <v>9</v>
      </c>
      <c r="AC1220">
        <v>3</v>
      </c>
      <c r="AD1220">
        <v>0</v>
      </c>
      <c r="AE1220">
        <v>10</v>
      </c>
      <c r="AF1220" t="s">
        <v>126</v>
      </c>
      <c r="AG1220">
        <v>0</v>
      </c>
      <c r="AH1220">
        <v>0</v>
      </c>
      <c r="AI1220">
        <v>2</v>
      </c>
      <c r="AJ1220">
        <v>0</v>
      </c>
      <c r="AK1220" t="s">
        <v>502</v>
      </c>
      <c r="AL1220">
        <v>31.923437</v>
      </c>
      <c r="AM1220" t="s">
        <v>674</v>
      </c>
      <c r="AN1220">
        <v>-100.96922600000001</v>
      </c>
      <c r="AQ1220" t="s">
        <v>129</v>
      </c>
      <c r="AR1220">
        <v>-1</v>
      </c>
      <c r="AS1220">
        <v>2</v>
      </c>
      <c r="AT1220">
        <v>-64</v>
      </c>
      <c r="BB1220" t="str">
        <f t="shared" si="139"/>
        <v>1200</v>
      </c>
      <c r="BC1220">
        <v>1</v>
      </c>
      <c r="BD1220" t="str">
        <f t="shared" si="135"/>
        <v xml:space="preserve">N745MB  </v>
      </c>
      <c r="BE1220">
        <v>1</v>
      </c>
      <c r="BG1220">
        <v>0</v>
      </c>
      <c r="BH1220">
        <v>0</v>
      </c>
      <c r="BI1220">
        <v>0</v>
      </c>
      <c r="BL1220" t="s">
        <v>130</v>
      </c>
      <c r="BM1220">
        <v>1</v>
      </c>
      <c r="BN1220">
        <v>0</v>
      </c>
      <c r="BO1220">
        <v>0</v>
      </c>
      <c r="BP1220">
        <v>0</v>
      </c>
      <c r="BT1220">
        <v>0</v>
      </c>
      <c r="BU1220">
        <v>0</v>
      </c>
      <c r="CE1220" t="str">
        <f>"20:28:17.733"</f>
        <v>20:28:17.733</v>
      </c>
      <c r="CF1220">
        <v>732998820</v>
      </c>
      <c r="CS1220">
        <v>0</v>
      </c>
      <c r="CT1220">
        <v>2</v>
      </c>
      <c r="CU1220">
        <v>0</v>
      </c>
      <c r="CV1220">
        <v>2</v>
      </c>
      <c r="CW1220">
        <v>0</v>
      </c>
      <c r="CX1220">
        <v>3</v>
      </c>
      <c r="CY1220">
        <v>7</v>
      </c>
      <c r="CZ1220" t="s">
        <v>131</v>
      </c>
      <c r="DA1220">
        <v>116</v>
      </c>
      <c r="DB1220">
        <v>3</v>
      </c>
      <c r="DC1220" t="s">
        <v>132</v>
      </c>
      <c r="DD1220" t="s">
        <v>133</v>
      </c>
      <c r="DG1220">
        <v>8485525</v>
      </c>
      <c r="DI1220">
        <v>0</v>
      </c>
      <c r="DJ1220">
        <v>1</v>
      </c>
      <c r="DK1220">
        <v>1</v>
      </c>
      <c r="DL1220">
        <v>0</v>
      </c>
      <c r="DM1220">
        <v>0</v>
      </c>
      <c r="DN1220">
        <v>0</v>
      </c>
      <c r="DO1220">
        <v>0</v>
      </c>
      <c r="DP1220">
        <v>1</v>
      </c>
      <c r="DQ1220">
        <v>0</v>
      </c>
      <c r="DR1220">
        <v>0</v>
      </c>
      <c r="DS1220">
        <v>1</v>
      </c>
    </row>
    <row r="1221" spans="1:123" x14ac:dyDescent="0.25">
      <c r="A1221" t="str">
        <f>"11/29/2023 20:28:19.649"</f>
        <v>11/29/2023 20:28:19.649</v>
      </c>
      <c r="C1221" t="str">
        <f t="shared" si="134"/>
        <v>FFDF53C0</v>
      </c>
      <c r="D1221" t="s">
        <v>138</v>
      </c>
      <c r="E1221">
        <v>3</v>
      </c>
      <c r="H1221">
        <v>160</v>
      </c>
      <c r="I1221" t="s">
        <v>124</v>
      </c>
      <c r="J1221" t="s">
        <v>139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>"20:28:19.336"</f>
        <v>20:28:19.336</v>
      </c>
      <c r="T1221" t="str">
        <f>"20:28:18.436"</f>
        <v>20:28:18.436</v>
      </c>
      <c r="U1221" t="str">
        <f t="shared" si="138"/>
        <v>AA0632</v>
      </c>
      <c r="V1221">
        <v>0</v>
      </c>
      <c r="W1221">
        <v>0</v>
      </c>
      <c r="X1221">
        <v>2</v>
      </c>
      <c r="Y1221">
        <v>0</v>
      </c>
      <c r="AA1221">
        <v>0</v>
      </c>
      <c r="AB1221">
        <v>9</v>
      </c>
      <c r="AC1221">
        <v>3</v>
      </c>
      <c r="AD1221">
        <v>0</v>
      </c>
      <c r="AE1221">
        <v>10</v>
      </c>
      <c r="AF1221" t="s">
        <v>126</v>
      </c>
      <c r="AG1221">
        <v>0</v>
      </c>
      <c r="AH1221">
        <v>0</v>
      </c>
      <c r="AI1221">
        <v>2</v>
      </c>
      <c r="AJ1221">
        <v>0</v>
      </c>
      <c r="AK1221" t="s">
        <v>502</v>
      </c>
      <c r="AL1221">
        <v>31.923437</v>
      </c>
      <c r="AM1221" t="s">
        <v>674</v>
      </c>
      <c r="AN1221">
        <v>-100.96922600000001</v>
      </c>
      <c r="AQ1221" t="s">
        <v>129</v>
      </c>
      <c r="AR1221">
        <v>0</v>
      </c>
      <c r="AS1221">
        <v>2</v>
      </c>
      <c r="AT1221">
        <v>-128</v>
      </c>
      <c r="BB1221" t="str">
        <f t="shared" si="139"/>
        <v>1200</v>
      </c>
      <c r="BC1221">
        <v>1</v>
      </c>
      <c r="BD1221" t="str">
        <f t="shared" si="135"/>
        <v xml:space="preserve">N745MB  </v>
      </c>
      <c r="BE1221">
        <v>1</v>
      </c>
      <c r="BG1221">
        <v>0</v>
      </c>
      <c r="BH1221">
        <v>0</v>
      </c>
      <c r="BI1221">
        <v>0</v>
      </c>
      <c r="BL1221" t="s">
        <v>130</v>
      </c>
      <c r="BM1221">
        <v>1</v>
      </c>
      <c r="BN1221">
        <v>0</v>
      </c>
      <c r="BO1221">
        <v>0</v>
      </c>
      <c r="BP1221">
        <v>0</v>
      </c>
      <c r="BT1221">
        <v>0</v>
      </c>
      <c r="BU1221">
        <v>0</v>
      </c>
      <c r="CE1221" t="str">
        <f>"20:28:19.339"</f>
        <v>20:28:19.339</v>
      </c>
      <c r="CF1221">
        <v>338891158</v>
      </c>
      <c r="CS1221">
        <v>0</v>
      </c>
      <c r="CT1221">
        <v>2</v>
      </c>
      <c r="CU1221">
        <v>0</v>
      </c>
      <c r="CV1221">
        <v>2</v>
      </c>
      <c r="CW1221">
        <v>0</v>
      </c>
      <c r="CX1221">
        <v>5</v>
      </c>
      <c r="CY1221">
        <v>7</v>
      </c>
      <c r="CZ1221" t="s">
        <v>131</v>
      </c>
      <c r="DA1221">
        <v>116</v>
      </c>
      <c r="DB1221">
        <v>0</v>
      </c>
      <c r="DC1221" t="s">
        <v>132</v>
      </c>
      <c r="DD1221" t="s">
        <v>133</v>
      </c>
      <c r="DG1221">
        <v>14786764</v>
      </c>
      <c r="DI1221">
        <v>0</v>
      </c>
      <c r="DJ1221">
        <v>1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1</v>
      </c>
      <c r="DQ1221">
        <v>0</v>
      </c>
      <c r="DR1221">
        <v>0</v>
      </c>
      <c r="DS1221">
        <v>1</v>
      </c>
    </row>
    <row r="1222" spans="1:123" x14ac:dyDescent="0.25">
      <c r="A1222" t="str">
        <f>"11/29/2023 20:28:19.696"</f>
        <v>11/29/2023 20:28:19.696</v>
      </c>
      <c r="C1222" t="str">
        <f t="shared" si="134"/>
        <v>FFDF53C0</v>
      </c>
      <c r="D1222" t="s">
        <v>123</v>
      </c>
      <c r="E1222">
        <v>14</v>
      </c>
      <c r="F1222">
        <v>1014</v>
      </c>
      <c r="G1222" t="s">
        <v>124</v>
      </c>
      <c r="J1222" t="s">
        <v>125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>"20:28:19.336"</f>
        <v>20:28:19.336</v>
      </c>
      <c r="T1222" t="str">
        <f>"20:28:18.436"</f>
        <v>20:28:18.436</v>
      </c>
      <c r="U1222" t="str">
        <f t="shared" si="138"/>
        <v>AA0632</v>
      </c>
      <c r="V1222">
        <v>0</v>
      </c>
      <c r="W1222">
        <v>0</v>
      </c>
      <c r="X1222">
        <v>2</v>
      </c>
      <c r="Y1222">
        <v>0</v>
      </c>
      <c r="AA1222">
        <v>0</v>
      </c>
      <c r="AB1222">
        <v>9</v>
      </c>
      <c r="AC1222">
        <v>3</v>
      </c>
      <c r="AD1222">
        <v>0</v>
      </c>
      <c r="AE1222">
        <v>10</v>
      </c>
      <c r="AF1222" t="s">
        <v>126</v>
      </c>
      <c r="AG1222">
        <v>0</v>
      </c>
      <c r="AH1222">
        <v>0</v>
      </c>
      <c r="AI1222">
        <v>2</v>
      </c>
      <c r="AJ1222">
        <v>0</v>
      </c>
      <c r="AK1222" t="s">
        <v>502</v>
      </c>
      <c r="AL1222">
        <v>31.923437</v>
      </c>
      <c r="AM1222" t="s">
        <v>674</v>
      </c>
      <c r="AN1222">
        <v>-100.96922600000001</v>
      </c>
      <c r="AQ1222" t="s">
        <v>129</v>
      </c>
      <c r="AR1222">
        <v>0</v>
      </c>
      <c r="AS1222">
        <v>2</v>
      </c>
      <c r="AT1222">
        <v>-128</v>
      </c>
      <c r="BB1222" t="str">
        <f t="shared" si="139"/>
        <v>1200</v>
      </c>
      <c r="BC1222">
        <v>1</v>
      </c>
      <c r="BD1222" t="str">
        <f t="shared" si="135"/>
        <v xml:space="preserve">N745MB  </v>
      </c>
      <c r="BE1222">
        <v>1</v>
      </c>
      <c r="BG1222">
        <v>0</v>
      </c>
      <c r="BH1222">
        <v>0</v>
      </c>
      <c r="BI1222">
        <v>0</v>
      </c>
      <c r="BL1222" t="s">
        <v>130</v>
      </c>
      <c r="BM1222">
        <v>1</v>
      </c>
      <c r="BN1222">
        <v>0</v>
      </c>
      <c r="BO1222">
        <v>0</v>
      </c>
      <c r="BP1222">
        <v>0</v>
      </c>
      <c r="BT1222">
        <v>0</v>
      </c>
      <c r="BU1222">
        <v>0</v>
      </c>
      <c r="CE1222" t="str">
        <f>"20:28:19.339"</f>
        <v>20:28:19.339</v>
      </c>
      <c r="CF1222">
        <v>338891158</v>
      </c>
      <c r="CS1222">
        <v>0</v>
      </c>
      <c r="CT1222">
        <v>2</v>
      </c>
      <c r="CU1222">
        <v>0</v>
      </c>
      <c r="CV1222">
        <v>2</v>
      </c>
      <c r="CW1222">
        <v>0</v>
      </c>
      <c r="CX1222">
        <v>5</v>
      </c>
      <c r="CY1222">
        <v>7</v>
      </c>
      <c r="CZ1222" t="s">
        <v>131</v>
      </c>
      <c r="DA1222">
        <v>116</v>
      </c>
      <c r="DB1222">
        <v>0</v>
      </c>
      <c r="DC1222" t="s">
        <v>132</v>
      </c>
      <c r="DD1222" t="s">
        <v>133</v>
      </c>
      <c r="DG1222">
        <v>14786764</v>
      </c>
      <c r="DI1222">
        <v>0</v>
      </c>
      <c r="DJ1222">
        <v>1</v>
      </c>
      <c r="DK1222">
        <v>1</v>
      </c>
      <c r="DL1222">
        <v>0</v>
      </c>
      <c r="DM1222">
        <v>0</v>
      </c>
      <c r="DN1222">
        <v>0</v>
      </c>
      <c r="DO1222">
        <v>0</v>
      </c>
      <c r="DP1222">
        <v>1</v>
      </c>
      <c r="DQ1222">
        <v>0</v>
      </c>
      <c r="DR1222">
        <v>0</v>
      </c>
      <c r="DS1222">
        <v>1</v>
      </c>
    </row>
    <row r="1223" spans="1:123" x14ac:dyDescent="0.25">
      <c r="A1223" t="str">
        <f>"11/29/2023 20:28:19.712"</f>
        <v>11/29/2023 20:28:19.712</v>
      </c>
      <c r="C1223" t="str">
        <f t="shared" si="134"/>
        <v>FFDF53C0</v>
      </c>
      <c r="D1223" t="s">
        <v>123</v>
      </c>
      <c r="E1223">
        <v>1</v>
      </c>
      <c r="F1223">
        <v>1001</v>
      </c>
      <c r="G1223" t="s">
        <v>134</v>
      </c>
      <c r="J1223" t="s">
        <v>125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>"20:28:19.336"</f>
        <v>20:28:19.336</v>
      </c>
      <c r="T1223" t="str">
        <f>"20:28:18.436"</f>
        <v>20:28:18.436</v>
      </c>
      <c r="U1223" t="str">
        <f t="shared" si="138"/>
        <v>AA0632</v>
      </c>
      <c r="V1223">
        <v>0</v>
      </c>
      <c r="W1223">
        <v>0</v>
      </c>
      <c r="X1223">
        <v>2</v>
      </c>
      <c r="Y1223">
        <v>0</v>
      </c>
      <c r="AA1223">
        <v>0</v>
      </c>
      <c r="AB1223">
        <v>9</v>
      </c>
      <c r="AC1223">
        <v>3</v>
      </c>
      <c r="AD1223">
        <v>0</v>
      </c>
      <c r="AE1223">
        <v>10</v>
      </c>
      <c r="AF1223" t="s">
        <v>126</v>
      </c>
      <c r="AG1223">
        <v>0</v>
      </c>
      <c r="AH1223">
        <v>0</v>
      </c>
      <c r="AI1223">
        <v>2</v>
      </c>
      <c r="AJ1223">
        <v>0</v>
      </c>
      <c r="AK1223" t="s">
        <v>502</v>
      </c>
      <c r="AL1223">
        <v>31.923437</v>
      </c>
      <c r="AM1223" t="s">
        <v>674</v>
      </c>
      <c r="AN1223">
        <v>-100.96922600000001</v>
      </c>
      <c r="AQ1223" t="s">
        <v>129</v>
      </c>
      <c r="AR1223">
        <v>0</v>
      </c>
      <c r="AS1223">
        <v>2</v>
      </c>
      <c r="AT1223">
        <v>-128</v>
      </c>
      <c r="BB1223" t="str">
        <f t="shared" si="139"/>
        <v>1200</v>
      </c>
      <c r="BC1223">
        <v>1</v>
      </c>
      <c r="BD1223" t="str">
        <f t="shared" si="135"/>
        <v xml:space="preserve">N745MB  </v>
      </c>
      <c r="BE1223">
        <v>1</v>
      </c>
      <c r="BG1223">
        <v>0</v>
      </c>
      <c r="BH1223">
        <v>0</v>
      </c>
      <c r="BI1223">
        <v>0</v>
      </c>
      <c r="BL1223" t="s">
        <v>130</v>
      </c>
      <c r="BM1223">
        <v>1</v>
      </c>
      <c r="BN1223">
        <v>0</v>
      </c>
      <c r="BO1223">
        <v>0</v>
      </c>
      <c r="BP1223">
        <v>0</v>
      </c>
      <c r="BT1223">
        <v>0</v>
      </c>
      <c r="BU1223">
        <v>0</v>
      </c>
      <c r="CE1223" t="str">
        <f>"20:28:19.339"</f>
        <v>20:28:19.339</v>
      </c>
      <c r="CF1223">
        <v>338891158</v>
      </c>
      <c r="CS1223">
        <v>0</v>
      </c>
      <c r="CT1223">
        <v>2</v>
      </c>
      <c r="CU1223">
        <v>0</v>
      </c>
      <c r="CV1223">
        <v>2</v>
      </c>
      <c r="CW1223">
        <v>0</v>
      </c>
      <c r="CX1223">
        <v>5</v>
      </c>
      <c r="CY1223">
        <v>7</v>
      </c>
      <c r="CZ1223" t="s">
        <v>131</v>
      </c>
      <c r="DA1223">
        <v>116</v>
      </c>
      <c r="DB1223">
        <v>0</v>
      </c>
      <c r="DC1223" t="s">
        <v>132</v>
      </c>
      <c r="DD1223" t="s">
        <v>133</v>
      </c>
      <c r="DG1223">
        <v>14786764</v>
      </c>
      <c r="DI1223">
        <v>0</v>
      </c>
      <c r="DJ1223">
        <v>1</v>
      </c>
      <c r="DK1223">
        <v>1</v>
      </c>
      <c r="DL1223">
        <v>0</v>
      </c>
      <c r="DM1223">
        <v>0</v>
      </c>
      <c r="DN1223">
        <v>0</v>
      </c>
      <c r="DO1223">
        <v>0</v>
      </c>
      <c r="DP1223">
        <v>1</v>
      </c>
      <c r="DQ1223">
        <v>0</v>
      </c>
      <c r="DR1223">
        <v>0</v>
      </c>
      <c r="DS1223">
        <v>1</v>
      </c>
    </row>
    <row r="1224" spans="1:123" x14ac:dyDescent="0.25">
      <c r="A1224" t="str">
        <f>"11/29/2023 20:28:19.712"</f>
        <v>11/29/2023 20:28:19.712</v>
      </c>
      <c r="C1224" t="str">
        <f t="shared" si="134"/>
        <v>FFDF53C0</v>
      </c>
      <c r="D1224" t="s">
        <v>135</v>
      </c>
      <c r="E1224">
        <v>31</v>
      </c>
      <c r="H1224">
        <v>285</v>
      </c>
      <c r="I1224" t="s">
        <v>136</v>
      </c>
      <c r="J1224" t="s">
        <v>137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>"20:28:19.336"</f>
        <v>20:28:19.336</v>
      </c>
      <c r="T1224" t="str">
        <f>"20:28:18.436"</f>
        <v>20:28:18.436</v>
      </c>
      <c r="U1224" t="str">
        <f t="shared" si="138"/>
        <v>AA0632</v>
      </c>
      <c r="V1224">
        <v>0</v>
      </c>
      <c r="W1224">
        <v>0</v>
      </c>
      <c r="X1224">
        <v>2</v>
      </c>
      <c r="Y1224">
        <v>0</v>
      </c>
      <c r="AA1224">
        <v>0</v>
      </c>
      <c r="AB1224">
        <v>9</v>
      </c>
      <c r="AC1224">
        <v>3</v>
      </c>
      <c r="AD1224">
        <v>0</v>
      </c>
      <c r="AE1224">
        <v>10</v>
      </c>
      <c r="AF1224" t="s">
        <v>126</v>
      </c>
      <c r="AG1224">
        <v>0</v>
      </c>
      <c r="AH1224">
        <v>0</v>
      </c>
      <c r="AI1224">
        <v>2</v>
      </c>
      <c r="AJ1224">
        <v>0</v>
      </c>
      <c r="AK1224" t="s">
        <v>502</v>
      </c>
      <c r="AL1224">
        <v>31.923437</v>
      </c>
      <c r="AM1224" t="s">
        <v>674</v>
      </c>
      <c r="AN1224">
        <v>-100.96922600000001</v>
      </c>
      <c r="AQ1224" t="s">
        <v>129</v>
      </c>
      <c r="AR1224">
        <v>0</v>
      </c>
      <c r="AS1224">
        <v>2</v>
      </c>
      <c r="AT1224">
        <v>-128</v>
      </c>
      <c r="BB1224" t="str">
        <f t="shared" si="139"/>
        <v>1200</v>
      </c>
      <c r="BC1224">
        <v>1</v>
      </c>
      <c r="BD1224" t="str">
        <f t="shared" si="135"/>
        <v xml:space="preserve">N745MB  </v>
      </c>
      <c r="BE1224">
        <v>1</v>
      </c>
      <c r="BG1224">
        <v>0</v>
      </c>
      <c r="BH1224">
        <v>0</v>
      </c>
      <c r="BI1224">
        <v>0</v>
      </c>
      <c r="BL1224" t="s">
        <v>130</v>
      </c>
      <c r="BM1224">
        <v>1</v>
      </c>
      <c r="BN1224">
        <v>0</v>
      </c>
      <c r="BO1224">
        <v>0</v>
      </c>
      <c r="BP1224">
        <v>0</v>
      </c>
      <c r="BT1224">
        <v>0</v>
      </c>
      <c r="BU1224">
        <v>0</v>
      </c>
      <c r="CE1224" t="str">
        <f>"20:28:19.339"</f>
        <v>20:28:19.339</v>
      </c>
      <c r="CF1224">
        <v>338891158</v>
      </c>
      <c r="CS1224">
        <v>0</v>
      </c>
      <c r="CT1224">
        <v>2</v>
      </c>
      <c r="CU1224">
        <v>0</v>
      </c>
      <c r="CV1224">
        <v>2</v>
      </c>
      <c r="CW1224">
        <v>0</v>
      </c>
      <c r="CX1224">
        <v>5</v>
      </c>
      <c r="CY1224">
        <v>7</v>
      </c>
      <c r="CZ1224" t="s">
        <v>131</v>
      </c>
      <c r="DA1224">
        <v>116</v>
      </c>
      <c r="DB1224">
        <v>0</v>
      </c>
      <c r="DC1224" t="s">
        <v>132</v>
      </c>
      <c r="DD1224" t="s">
        <v>133</v>
      </c>
      <c r="DG1224">
        <v>14786764</v>
      </c>
      <c r="DI1224">
        <v>0</v>
      </c>
      <c r="DJ1224">
        <v>1</v>
      </c>
      <c r="DK1224">
        <v>0</v>
      </c>
      <c r="DL1224">
        <v>0</v>
      </c>
      <c r="DM1224">
        <v>0</v>
      </c>
      <c r="DN1224">
        <v>0</v>
      </c>
      <c r="DO1224">
        <v>0</v>
      </c>
      <c r="DP1224">
        <v>1</v>
      </c>
      <c r="DQ1224">
        <v>0</v>
      </c>
      <c r="DR1224">
        <v>0</v>
      </c>
      <c r="DS1224">
        <v>1</v>
      </c>
    </row>
    <row r="1225" spans="1:123" x14ac:dyDescent="0.25">
      <c r="A1225" t="str">
        <f>"11/29/2023 20:28:20.806"</f>
        <v>11/29/2023 20:28:20.806</v>
      </c>
      <c r="C1225" t="str">
        <f t="shared" si="134"/>
        <v>FFDF53C0</v>
      </c>
      <c r="D1225" t="s">
        <v>123</v>
      </c>
      <c r="E1225">
        <v>14</v>
      </c>
      <c r="F1225">
        <v>1014</v>
      </c>
      <c r="G1225" t="s">
        <v>124</v>
      </c>
      <c r="J1225" t="s">
        <v>125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>"20:28:20.477"</f>
        <v>20:28:20.477</v>
      </c>
      <c r="T1225" t="str">
        <f>"20:28:20.377"</f>
        <v>20:28:20.377</v>
      </c>
      <c r="U1225" t="str">
        <f t="shared" si="138"/>
        <v>AA0632</v>
      </c>
      <c r="V1225">
        <v>0</v>
      </c>
      <c r="W1225">
        <v>0</v>
      </c>
      <c r="X1225">
        <v>2</v>
      </c>
      <c r="Y1225">
        <v>0</v>
      </c>
      <c r="AA1225">
        <v>0</v>
      </c>
      <c r="AB1225">
        <v>9</v>
      </c>
      <c r="AC1225">
        <v>3</v>
      </c>
      <c r="AD1225">
        <v>0</v>
      </c>
      <c r="AE1225">
        <v>10</v>
      </c>
      <c r="AF1225" t="s">
        <v>126</v>
      </c>
      <c r="AG1225">
        <v>0</v>
      </c>
      <c r="AH1225">
        <v>0</v>
      </c>
      <c r="AI1225">
        <v>2</v>
      </c>
      <c r="AJ1225">
        <v>0</v>
      </c>
      <c r="AK1225" t="s">
        <v>502</v>
      </c>
      <c r="AL1225">
        <v>31.923437</v>
      </c>
      <c r="AM1225" t="s">
        <v>631</v>
      </c>
      <c r="AN1225">
        <v>-100.969291</v>
      </c>
      <c r="AQ1225" t="s">
        <v>129</v>
      </c>
      <c r="AR1225">
        <v>0</v>
      </c>
      <c r="AS1225">
        <v>1</v>
      </c>
      <c r="AT1225">
        <v>-128</v>
      </c>
      <c r="BB1225" t="str">
        <f t="shared" si="139"/>
        <v>1200</v>
      </c>
      <c r="BC1225">
        <v>1</v>
      </c>
      <c r="BD1225" t="str">
        <f t="shared" si="135"/>
        <v xml:space="preserve">N745MB  </v>
      </c>
      <c r="BE1225">
        <v>1</v>
      </c>
      <c r="BG1225">
        <v>0</v>
      </c>
      <c r="BH1225">
        <v>0</v>
      </c>
      <c r="BI1225">
        <v>0</v>
      </c>
      <c r="BL1225" t="s">
        <v>130</v>
      </c>
      <c r="BM1225">
        <v>1</v>
      </c>
      <c r="BN1225">
        <v>0</v>
      </c>
      <c r="BO1225">
        <v>0</v>
      </c>
      <c r="BP1225">
        <v>0</v>
      </c>
      <c r="BT1225">
        <v>0</v>
      </c>
      <c r="BU1225">
        <v>0</v>
      </c>
      <c r="CE1225" t="str">
        <f>"20:28:20.481"</f>
        <v>20:28:20.481</v>
      </c>
      <c r="CF1225">
        <v>480814379</v>
      </c>
      <c r="CS1225">
        <v>0</v>
      </c>
      <c r="CT1225">
        <v>2</v>
      </c>
      <c r="CU1225">
        <v>0</v>
      </c>
      <c r="CV1225">
        <v>2</v>
      </c>
      <c r="CW1225">
        <v>0</v>
      </c>
      <c r="CX1225">
        <v>5</v>
      </c>
      <c r="CY1225">
        <v>7</v>
      </c>
      <c r="CZ1225" t="s">
        <v>131</v>
      </c>
      <c r="DA1225">
        <v>116</v>
      </c>
      <c r="DB1225">
        <v>0</v>
      </c>
      <c r="DC1225" t="s">
        <v>132</v>
      </c>
      <c r="DD1225" t="s">
        <v>133</v>
      </c>
      <c r="DG1225">
        <v>14787682</v>
      </c>
      <c r="DI1225">
        <v>0</v>
      </c>
      <c r="DJ1225">
        <v>1</v>
      </c>
      <c r="DK1225">
        <v>0</v>
      </c>
      <c r="DL1225">
        <v>0</v>
      </c>
      <c r="DM1225">
        <v>0</v>
      </c>
      <c r="DN1225">
        <v>0</v>
      </c>
      <c r="DO1225">
        <v>0</v>
      </c>
      <c r="DP1225">
        <v>1</v>
      </c>
      <c r="DQ1225">
        <v>0</v>
      </c>
      <c r="DR1225">
        <v>0</v>
      </c>
      <c r="DS1225">
        <v>1</v>
      </c>
    </row>
    <row r="1226" spans="1:123" x14ac:dyDescent="0.25">
      <c r="A1226" t="str">
        <f>"11/29/2023 20:28:20.868"</f>
        <v>11/29/2023 20:28:20.868</v>
      </c>
      <c r="C1226" t="str">
        <f t="shared" si="134"/>
        <v>FFDF53C0</v>
      </c>
      <c r="D1226" t="s">
        <v>123</v>
      </c>
      <c r="E1226">
        <v>1</v>
      </c>
      <c r="F1226">
        <v>1001</v>
      </c>
      <c r="G1226" t="s">
        <v>134</v>
      </c>
      <c r="J1226" t="s">
        <v>125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>"20:28:20.477"</f>
        <v>20:28:20.477</v>
      </c>
      <c r="T1226" t="str">
        <f>"20:28:20.377"</f>
        <v>20:28:20.377</v>
      </c>
      <c r="U1226" t="str">
        <f t="shared" si="138"/>
        <v>AA0632</v>
      </c>
      <c r="V1226">
        <v>0</v>
      </c>
      <c r="W1226">
        <v>0</v>
      </c>
      <c r="X1226">
        <v>2</v>
      </c>
      <c r="Y1226">
        <v>0</v>
      </c>
      <c r="AA1226">
        <v>0</v>
      </c>
      <c r="AB1226">
        <v>9</v>
      </c>
      <c r="AC1226">
        <v>3</v>
      </c>
      <c r="AD1226">
        <v>0</v>
      </c>
      <c r="AE1226">
        <v>10</v>
      </c>
      <c r="AF1226" t="s">
        <v>126</v>
      </c>
      <c r="AG1226">
        <v>0</v>
      </c>
      <c r="AH1226">
        <v>0</v>
      </c>
      <c r="AI1226">
        <v>2</v>
      </c>
      <c r="AJ1226">
        <v>0</v>
      </c>
      <c r="AK1226" t="s">
        <v>502</v>
      </c>
      <c r="AL1226">
        <v>31.923437</v>
      </c>
      <c r="AM1226" t="s">
        <v>631</v>
      </c>
      <c r="AN1226">
        <v>-100.969291</v>
      </c>
      <c r="AQ1226" t="s">
        <v>129</v>
      </c>
      <c r="AR1226">
        <v>0</v>
      </c>
      <c r="AS1226">
        <v>1</v>
      </c>
      <c r="AT1226">
        <v>-128</v>
      </c>
      <c r="BB1226" t="str">
        <f t="shared" si="139"/>
        <v>1200</v>
      </c>
      <c r="BC1226">
        <v>1</v>
      </c>
      <c r="BD1226" t="str">
        <f t="shared" si="135"/>
        <v xml:space="preserve">N745MB  </v>
      </c>
      <c r="BE1226">
        <v>1</v>
      </c>
      <c r="BG1226">
        <v>0</v>
      </c>
      <c r="BH1226">
        <v>0</v>
      </c>
      <c r="BI1226">
        <v>0</v>
      </c>
      <c r="BL1226" t="s">
        <v>130</v>
      </c>
      <c r="BM1226">
        <v>1</v>
      </c>
      <c r="BN1226">
        <v>0</v>
      </c>
      <c r="BO1226">
        <v>0</v>
      </c>
      <c r="BP1226">
        <v>0</v>
      </c>
      <c r="BT1226">
        <v>0</v>
      </c>
      <c r="BU1226">
        <v>0</v>
      </c>
      <c r="CE1226" t="str">
        <f>"20:28:20.481"</f>
        <v>20:28:20.481</v>
      </c>
      <c r="CF1226">
        <v>480814379</v>
      </c>
      <c r="CS1226">
        <v>0</v>
      </c>
      <c r="CT1226">
        <v>2</v>
      </c>
      <c r="CU1226">
        <v>0</v>
      </c>
      <c r="CV1226">
        <v>2</v>
      </c>
      <c r="CW1226">
        <v>0</v>
      </c>
      <c r="CX1226">
        <v>5</v>
      </c>
      <c r="CY1226">
        <v>7</v>
      </c>
      <c r="CZ1226" t="s">
        <v>131</v>
      </c>
      <c r="DA1226">
        <v>116</v>
      </c>
      <c r="DB1226">
        <v>0</v>
      </c>
      <c r="DC1226" t="s">
        <v>132</v>
      </c>
      <c r="DD1226" t="s">
        <v>133</v>
      </c>
      <c r="DG1226">
        <v>14787682</v>
      </c>
      <c r="DI1226">
        <v>0</v>
      </c>
      <c r="DJ1226">
        <v>1</v>
      </c>
      <c r="DK1226">
        <v>1</v>
      </c>
      <c r="DL1226">
        <v>0</v>
      </c>
      <c r="DM1226">
        <v>0</v>
      </c>
      <c r="DN1226">
        <v>0</v>
      </c>
      <c r="DO1226">
        <v>0</v>
      </c>
      <c r="DP1226">
        <v>1</v>
      </c>
      <c r="DQ1226">
        <v>0</v>
      </c>
      <c r="DR1226">
        <v>0</v>
      </c>
      <c r="DS1226">
        <v>1</v>
      </c>
    </row>
    <row r="1227" spans="1:123" x14ac:dyDescent="0.25">
      <c r="A1227" t="str">
        <f>"11/29/2023 20:28:20.868"</f>
        <v>11/29/2023 20:28:20.868</v>
      </c>
      <c r="C1227" t="str">
        <f t="shared" si="134"/>
        <v>FFDF53C0</v>
      </c>
      <c r="D1227" t="s">
        <v>135</v>
      </c>
      <c r="E1227">
        <v>31</v>
      </c>
      <c r="H1227">
        <v>285</v>
      </c>
      <c r="I1227" t="s">
        <v>136</v>
      </c>
      <c r="J1227" t="s">
        <v>137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>"20:28:20.477"</f>
        <v>20:28:20.477</v>
      </c>
      <c r="T1227" t="str">
        <f>"20:28:20.377"</f>
        <v>20:28:20.377</v>
      </c>
      <c r="U1227" t="str">
        <f t="shared" si="138"/>
        <v>AA0632</v>
      </c>
      <c r="V1227">
        <v>0</v>
      </c>
      <c r="W1227">
        <v>0</v>
      </c>
      <c r="X1227">
        <v>2</v>
      </c>
      <c r="Y1227">
        <v>0</v>
      </c>
      <c r="AA1227">
        <v>0</v>
      </c>
      <c r="AB1227">
        <v>9</v>
      </c>
      <c r="AC1227">
        <v>3</v>
      </c>
      <c r="AD1227">
        <v>0</v>
      </c>
      <c r="AE1227">
        <v>10</v>
      </c>
      <c r="AF1227" t="s">
        <v>126</v>
      </c>
      <c r="AG1227">
        <v>0</v>
      </c>
      <c r="AH1227">
        <v>0</v>
      </c>
      <c r="AI1227">
        <v>2</v>
      </c>
      <c r="AJ1227">
        <v>0</v>
      </c>
      <c r="AK1227" t="s">
        <v>502</v>
      </c>
      <c r="AL1227">
        <v>31.923437</v>
      </c>
      <c r="AM1227" t="s">
        <v>631</v>
      </c>
      <c r="AN1227">
        <v>-100.969291</v>
      </c>
      <c r="AQ1227" t="s">
        <v>129</v>
      </c>
      <c r="AR1227">
        <v>0</v>
      </c>
      <c r="AS1227">
        <v>1</v>
      </c>
      <c r="AT1227">
        <v>-128</v>
      </c>
      <c r="BB1227" t="str">
        <f t="shared" si="139"/>
        <v>1200</v>
      </c>
      <c r="BC1227">
        <v>1</v>
      </c>
      <c r="BD1227" t="str">
        <f t="shared" si="135"/>
        <v xml:space="preserve">N745MB  </v>
      </c>
      <c r="BE1227">
        <v>1</v>
      </c>
      <c r="BG1227">
        <v>0</v>
      </c>
      <c r="BH1227">
        <v>0</v>
      </c>
      <c r="BI1227">
        <v>0</v>
      </c>
      <c r="BL1227" t="s">
        <v>130</v>
      </c>
      <c r="BM1227">
        <v>1</v>
      </c>
      <c r="BN1227">
        <v>0</v>
      </c>
      <c r="BO1227">
        <v>0</v>
      </c>
      <c r="BP1227">
        <v>0</v>
      </c>
      <c r="BT1227">
        <v>0</v>
      </c>
      <c r="BU1227">
        <v>0</v>
      </c>
      <c r="CE1227" t="str">
        <f>"20:28:20.481"</f>
        <v>20:28:20.481</v>
      </c>
      <c r="CF1227">
        <v>480814379</v>
      </c>
      <c r="CS1227">
        <v>0</v>
      </c>
      <c r="CT1227">
        <v>2</v>
      </c>
      <c r="CU1227">
        <v>0</v>
      </c>
      <c r="CV1227">
        <v>2</v>
      </c>
      <c r="CW1227">
        <v>0</v>
      </c>
      <c r="CX1227">
        <v>5</v>
      </c>
      <c r="CY1227">
        <v>7</v>
      </c>
      <c r="CZ1227" t="s">
        <v>131</v>
      </c>
      <c r="DA1227">
        <v>116</v>
      </c>
      <c r="DB1227">
        <v>0</v>
      </c>
      <c r="DC1227" t="s">
        <v>132</v>
      </c>
      <c r="DD1227" t="s">
        <v>133</v>
      </c>
      <c r="DG1227">
        <v>14787682</v>
      </c>
      <c r="DI1227">
        <v>0</v>
      </c>
      <c r="DJ1227">
        <v>1</v>
      </c>
      <c r="DK1227">
        <v>1</v>
      </c>
      <c r="DL1227">
        <v>0</v>
      </c>
      <c r="DM1227">
        <v>0</v>
      </c>
      <c r="DN1227">
        <v>0</v>
      </c>
      <c r="DO1227">
        <v>0</v>
      </c>
      <c r="DP1227">
        <v>1</v>
      </c>
      <c r="DQ1227">
        <v>0</v>
      </c>
      <c r="DR1227">
        <v>0</v>
      </c>
      <c r="DS1227">
        <v>1</v>
      </c>
    </row>
    <row r="1228" spans="1:123" x14ac:dyDescent="0.25">
      <c r="A1228" t="str">
        <f>"11/29/2023 20:28:20.868"</f>
        <v>11/29/2023 20:28:20.868</v>
      </c>
      <c r="C1228" t="str">
        <f t="shared" si="134"/>
        <v>FFDF53C0</v>
      </c>
      <c r="D1228" t="s">
        <v>138</v>
      </c>
      <c r="E1228">
        <v>3</v>
      </c>
      <c r="H1228">
        <v>160</v>
      </c>
      <c r="I1228" t="s">
        <v>124</v>
      </c>
      <c r="J1228" t="s">
        <v>139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>"20:28:20.477"</f>
        <v>20:28:20.477</v>
      </c>
      <c r="T1228" t="str">
        <f>"20:28:20.377"</f>
        <v>20:28:20.377</v>
      </c>
      <c r="U1228" t="str">
        <f t="shared" si="138"/>
        <v>AA0632</v>
      </c>
      <c r="V1228">
        <v>0</v>
      </c>
      <c r="W1228">
        <v>0</v>
      </c>
      <c r="X1228">
        <v>2</v>
      </c>
      <c r="Y1228">
        <v>0</v>
      </c>
      <c r="AA1228">
        <v>0</v>
      </c>
      <c r="AB1228">
        <v>9</v>
      </c>
      <c r="AC1228">
        <v>3</v>
      </c>
      <c r="AD1228">
        <v>0</v>
      </c>
      <c r="AE1228">
        <v>10</v>
      </c>
      <c r="AF1228" t="s">
        <v>126</v>
      </c>
      <c r="AG1228">
        <v>0</v>
      </c>
      <c r="AH1228">
        <v>0</v>
      </c>
      <c r="AI1228">
        <v>2</v>
      </c>
      <c r="AJ1228">
        <v>0</v>
      </c>
      <c r="AK1228" t="s">
        <v>502</v>
      </c>
      <c r="AL1228">
        <v>31.923437</v>
      </c>
      <c r="AM1228" t="s">
        <v>631</v>
      </c>
      <c r="AN1228">
        <v>-100.969291</v>
      </c>
      <c r="AQ1228" t="s">
        <v>129</v>
      </c>
      <c r="AR1228">
        <v>0</v>
      </c>
      <c r="AS1228">
        <v>1</v>
      </c>
      <c r="AT1228">
        <v>-128</v>
      </c>
      <c r="BB1228" t="str">
        <f t="shared" si="139"/>
        <v>1200</v>
      </c>
      <c r="BC1228">
        <v>1</v>
      </c>
      <c r="BD1228" t="str">
        <f t="shared" si="135"/>
        <v xml:space="preserve">N745MB  </v>
      </c>
      <c r="BE1228">
        <v>1</v>
      </c>
      <c r="BG1228">
        <v>0</v>
      </c>
      <c r="BH1228">
        <v>0</v>
      </c>
      <c r="BI1228">
        <v>0</v>
      </c>
      <c r="BL1228" t="s">
        <v>130</v>
      </c>
      <c r="BM1228">
        <v>1</v>
      </c>
      <c r="BN1228">
        <v>0</v>
      </c>
      <c r="BO1228">
        <v>0</v>
      </c>
      <c r="BP1228">
        <v>0</v>
      </c>
      <c r="BT1228">
        <v>0</v>
      </c>
      <c r="BU1228">
        <v>0</v>
      </c>
      <c r="CE1228" t="str">
        <f>"20:28:20.481"</f>
        <v>20:28:20.481</v>
      </c>
      <c r="CF1228">
        <v>480814379</v>
      </c>
      <c r="CS1228">
        <v>0</v>
      </c>
      <c r="CT1228">
        <v>2</v>
      </c>
      <c r="CU1228">
        <v>0</v>
      </c>
      <c r="CV1228">
        <v>2</v>
      </c>
      <c r="CW1228">
        <v>0</v>
      </c>
      <c r="CX1228">
        <v>5</v>
      </c>
      <c r="CY1228">
        <v>7</v>
      </c>
      <c r="CZ1228" t="s">
        <v>131</v>
      </c>
      <c r="DA1228">
        <v>116</v>
      </c>
      <c r="DB1228">
        <v>0</v>
      </c>
      <c r="DC1228" t="s">
        <v>132</v>
      </c>
      <c r="DD1228" t="s">
        <v>133</v>
      </c>
      <c r="DG1228">
        <v>14787682</v>
      </c>
      <c r="DI1228">
        <v>0</v>
      </c>
      <c r="DJ1228">
        <v>1</v>
      </c>
      <c r="DK1228">
        <v>1</v>
      </c>
      <c r="DL1228">
        <v>0</v>
      </c>
      <c r="DM1228">
        <v>0</v>
      </c>
      <c r="DN1228">
        <v>0</v>
      </c>
      <c r="DO1228">
        <v>0</v>
      </c>
      <c r="DP1228">
        <v>1</v>
      </c>
      <c r="DQ1228">
        <v>0</v>
      </c>
      <c r="DR1228">
        <v>0</v>
      </c>
      <c r="DS1228">
        <v>1</v>
      </c>
    </row>
    <row r="1229" spans="1:123" x14ac:dyDescent="0.25">
      <c r="A1229" t="str">
        <f>"11/29/2023 20:28:22.165"</f>
        <v>11/29/2023 20:28:22.165</v>
      </c>
      <c r="C1229" t="str">
        <f t="shared" si="134"/>
        <v>FFDF53C0</v>
      </c>
      <c r="D1229" t="s">
        <v>123</v>
      </c>
      <c r="E1229">
        <v>14</v>
      </c>
      <c r="F1229">
        <v>1014</v>
      </c>
      <c r="G1229" t="s">
        <v>124</v>
      </c>
      <c r="J1229" t="s">
        <v>125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>"20:28:21.859"</f>
        <v>20:28:21.859</v>
      </c>
      <c r="T1229" t="str">
        <f>"20:28:20.959"</f>
        <v>20:28:20.959</v>
      </c>
      <c r="U1229" t="str">
        <f t="shared" si="138"/>
        <v>AA0632</v>
      </c>
      <c r="V1229">
        <v>0</v>
      </c>
      <c r="W1229">
        <v>0</v>
      </c>
      <c r="X1229">
        <v>2</v>
      </c>
      <c r="Y1229">
        <v>0</v>
      </c>
      <c r="AA1229">
        <v>0</v>
      </c>
      <c r="AB1229">
        <v>9</v>
      </c>
      <c r="AC1229">
        <v>3</v>
      </c>
      <c r="AD1229">
        <v>0</v>
      </c>
      <c r="AE1229">
        <v>10</v>
      </c>
      <c r="AF1229" t="s">
        <v>126</v>
      </c>
      <c r="AG1229">
        <v>0</v>
      </c>
      <c r="AH1229">
        <v>0</v>
      </c>
      <c r="AI1229">
        <v>2</v>
      </c>
      <c r="AJ1229">
        <v>0</v>
      </c>
      <c r="AK1229" t="s">
        <v>500</v>
      </c>
      <c r="AL1229">
        <v>31.923480000000001</v>
      </c>
      <c r="AM1229" t="s">
        <v>672</v>
      </c>
      <c r="AN1229">
        <v>-100.96924799999999</v>
      </c>
      <c r="AQ1229" t="s">
        <v>129</v>
      </c>
      <c r="AR1229">
        <v>-1</v>
      </c>
      <c r="AS1229">
        <v>1</v>
      </c>
      <c r="AT1229">
        <v>-64</v>
      </c>
      <c r="BB1229" t="str">
        <f t="shared" si="139"/>
        <v>1200</v>
      </c>
      <c r="BC1229">
        <v>1</v>
      </c>
      <c r="BD1229" t="str">
        <f t="shared" si="135"/>
        <v xml:space="preserve">N745MB  </v>
      </c>
      <c r="BE1229">
        <v>1</v>
      </c>
      <c r="BG1229">
        <v>0</v>
      </c>
      <c r="BH1229">
        <v>0</v>
      </c>
      <c r="BI1229">
        <v>0</v>
      </c>
      <c r="BL1229" t="s">
        <v>130</v>
      </c>
      <c r="BM1229">
        <v>1</v>
      </c>
      <c r="BN1229">
        <v>0</v>
      </c>
      <c r="BO1229">
        <v>0</v>
      </c>
      <c r="BP1229">
        <v>0</v>
      </c>
      <c r="BT1229">
        <v>0</v>
      </c>
      <c r="BU1229">
        <v>0</v>
      </c>
      <c r="CE1229" t="str">
        <f>"20:28:21.863"</f>
        <v>20:28:21.863</v>
      </c>
      <c r="CF1229">
        <v>862719588</v>
      </c>
      <c r="CS1229">
        <v>0</v>
      </c>
      <c r="CT1229">
        <v>2</v>
      </c>
      <c r="CU1229">
        <v>0</v>
      </c>
      <c r="CV1229">
        <v>2</v>
      </c>
      <c r="CW1229">
        <v>0</v>
      </c>
      <c r="CX1229">
        <v>4</v>
      </c>
      <c r="CY1229">
        <v>7</v>
      </c>
      <c r="CZ1229" t="s">
        <v>131</v>
      </c>
      <c r="DA1229">
        <v>116</v>
      </c>
      <c r="DB1229">
        <v>0</v>
      </c>
      <c r="DC1229" t="s">
        <v>132</v>
      </c>
      <c r="DD1229" t="s">
        <v>133</v>
      </c>
      <c r="DG1229">
        <v>14788850</v>
      </c>
      <c r="DI1229">
        <v>0</v>
      </c>
      <c r="DJ1229">
        <v>1</v>
      </c>
      <c r="DK1229">
        <v>0</v>
      </c>
      <c r="DL1229">
        <v>0</v>
      </c>
      <c r="DM1229">
        <v>0</v>
      </c>
      <c r="DN1229">
        <v>0</v>
      </c>
      <c r="DO1229">
        <v>0</v>
      </c>
      <c r="DP1229">
        <v>1</v>
      </c>
      <c r="DQ1229">
        <v>0</v>
      </c>
      <c r="DR1229">
        <v>0</v>
      </c>
      <c r="DS1229">
        <v>1</v>
      </c>
    </row>
    <row r="1230" spans="1:123" x14ac:dyDescent="0.25">
      <c r="A1230" t="str">
        <f>"11/29/2023 20:28:22.165"</f>
        <v>11/29/2023 20:28:22.165</v>
      </c>
      <c r="C1230" t="str">
        <f t="shared" si="134"/>
        <v>FFDF53C0</v>
      </c>
      <c r="D1230" t="s">
        <v>123</v>
      </c>
      <c r="E1230">
        <v>1</v>
      </c>
      <c r="F1230">
        <v>1001</v>
      </c>
      <c r="G1230" t="s">
        <v>134</v>
      </c>
      <c r="J1230" t="s">
        <v>125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>"20:28:21.859"</f>
        <v>20:28:21.859</v>
      </c>
      <c r="T1230" t="str">
        <f>"20:28:20.959"</f>
        <v>20:28:20.959</v>
      </c>
      <c r="U1230" t="str">
        <f t="shared" si="138"/>
        <v>AA0632</v>
      </c>
      <c r="V1230">
        <v>0</v>
      </c>
      <c r="W1230">
        <v>0</v>
      </c>
      <c r="X1230">
        <v>2</v>
      </c>
      <c r="Y1230">
        <v>0</v>
      </c>
      <c r="AA1230">
        <v>0</v>
      </c>
      <c r="AB1230">
        <v>9</v>
      </c>
      <c r="AC1230">
        <v>3</v>
      </c>
      <c r="AD1230">
        <v>0</v>
      </c>
      <c r="AE1230">
        <v>10</v>
      </c>
      <c r="AF1230" t="s">
        <v>126</v>
      </c>
      <c r="AG1230">
        <v>0</v>
      </c>
      <c r="AH1230">
        <v>0</v>
      </c>
      <c r="AI1230">
        <v>2</v>
      </c>
      <c r="AJ1230">
        <v>0</v>
      </c>
      <c r="AK1230" t="s">
        <v>500</v>
      </c>
      <c r="AL1230">
        <v>31.923480000000001</v>
      </c>
      <c r="AM1230" t="s">
        <v>672</v>
      </c>
      <c r="AN1230">
        <v>-100.96924799999999</v>
      </c>
      <c r="AQ1230" t="s">
        <v>129</v>
      </c>
      <c r="AR1230">
        <v>-1</v>
      </c>
      <c r="AS1230">
        <v>1</v>
      </c>
      <c r="AT1230">
        <v>-64</v>
      </c>
      <c r="BB1230" t="str">
        <f t="shared" si="139"/>
        <v>1200</v>
      </c>
      <c r="BC1230">
        <v>1</v>
      </c>
      <c r="BD1230" t="str">
        <f t="shared" si="135"/>
        <v xml:space="preserve">N745MB  </v>
      </c>
      <c r="BE1230">
        <v>1</v>
      </c>
      <c r="BG1230">
        <v>0</v>
      </c>
      <c r="BH1230">
        <v>0</v>
      </c>
      <c r="BI1230">
        <v>0</v>
      </c>
      <c r="BL1230" t="s">
        <v>130</v>
      </c>
      <c r="BM1230">
        <v>1</v>
      </c>
      <c r="BN1230">
        <v>0</v>
      </c>
      <c r="BO1230">
        <v>0</v>
      </c>
      <c r="BP1230">
        <v>0</v>
      </c>
      <c r="BT1230">
        <v>0</v>
      </c>
      <c r="BU1230">
        <v>0</v>
      </c>
      <c r="CE1230" t="str">
        <f>"20:28:21.863"</f>
        <v>20:28:21.863</v>
      </c>
      <c r="CF1230">
        <v>862719588</v>
      </c>
      <c r="CS1230">
        <v>0</v>
      </c>
      <c r="CT1230">
        <v>2</v>
      </c>
      <c r="CU1230">
        <v>0</v>
      </c>
      <c r="CV1230">
        <v>2</v>
      </c>
      <c r="CW1230">
        <v>0</v>
      </c>
      <c r="CX1230">
        <v>4</v>
      </c>
      <c r="CY1230">
        <v>7</v>
      </c>
      <c r="CZ1230" t="s">
        <v>131</v>
      </c>
      <c r="DA1230">
        <v>116</v>
      </c>
      <c r="DB1230">
        <v>0</v>
      </c>
      <c r="DC1230" t="s">
        <v>132</v>
      </c>
      <c r="DD1230" t="s">
        <v>133</v>
      </c>
      <c r="DG1230">
        <v>14788850</v>
      </c>
      <c r="DI1230">
        <v>0</v>
      </c>
      <c r="DJ1230">
        <v>1</v>
      </c>
      <c r="DK1230">
        <v>1</v>
      </c>
      <c r="DL1230">
        <v>0</v>
      </c>
      <c r="DM1230">
        <v>0</v>
      </c>
      <c r="DN1230">
        <v>0</v>
      </c>
      <c r="DO1230">
        <v>0</v>
      </c>
      <c r="DP1230">
        <v>1</v>
      </c>
      <c r="DQ1230">
        <v>0</v>
      </c>
      <c r="DR1230">
        <v>0</v>
      </c>
      <c r="DS1230">
        <v>1</v>
      </c>
    </row>
    <row r="1231" spans="1:123" x14ac:dyDescent="0.25">
      <c r="A1231" t="str">
        <f>"11/29/2023 20:28:23.618"</f>
        <v>11/29/2023 20:28:23.618</v>
      </c>
      <c r="C1231" t="str">
        <f t="shared" si="134"/>
        <v>FFDF53C0</v>
      </c>
      <c r="D1231" t="s">
        <v>138</v>
      </c>
      <c r="E1231">
        <v>3</v>
      </c>
      <c r="H1231">
        <v>160</v>
      </c>
      <c r="I1231" t="s">
        <v>124</v>
      </c>
      <c r="J1231" t="s">
        <v>139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>"20:28:23.328"</f>
        <v>20:28:23.328</v>
      </c>
      <c r="T1231" t="str">
        <f>"20:28:23.128"</f>
        <v>20:28:23.128</v>
      </c>
      <c r="U1231" t="str">
        <f t="shared" si="138"/>
        <v>AA0632</v>
      </c>
      <c r="V1231">
        <v>0</v>
      </c>
      <c r="W1231">
        <v>0</v>
      </c>
      <c r="X1231">
        <v>2</v>
      </c>
      <c r="Y1231">
        <v>0</v>
      </c>
      <c r="AA1231">
        <v>0</v>
      </c>
      <c r="AB1231">
        <v>9</v>
      </c>
      <c r="AC1231">
        <v>3</v>
      </c>
      <c r="AD1231">
        <v>0</v>
      </c>
      <c r="AE1231">
        <v>10</v>
      </c>
      <c r="AF1231" t="s">
        <v>126</v>
      </c>
      <c r="AG1231">
        <v>0</v>
      </c>
      <c r="AH1231">
        <v>0</v>
      </c>
      <c r="AI1231">
        <v>2</v>
      </c>
      <c r="AJ1231">
        <v>0</v>
      </c>
      <c r="AK1231" t="s">
        <v>500</v>
      </c>
      <c r="AL1231">
        <v>31.923480000000001</v>
      </c>
      <c r="AM1231" t="s">
        <v>631</v>
      </c>
      <c r="AN1231">
        <v>-100.969291</v>
      </c>
      <c r="AQ1231" t="s">
        <v>129</v>
      </c>
      <c r="AR1231">
        <v>0</v>
      </c>
      <c r="AS1231">
        <v>1</v>
      </c>
      <c r="AT1231">
        <v>-64</v>
      </c>
      <c r="BB1231" t="str">
        <f t="shared" si="139"/>
        <v>1200</v>
      </c>
      <c r="BC1231">
        <v>1</v>
      </c>
      <c r="BD1231" t="str">
        <f t="shared" si="135"/>
        <v xml:space="preserve">N745MB  </v>
      </c>
      <c r="BE1231">
        <v>1</v>
      </c>
      <c r="BG1231">
        <v>0</v>
      </c>
      <c r="BH1231">
        <v>0</v>
      </c>
      <c r="BI1231">
        <v>0</v>
      </c>
      <c r="BL1231" t="s">
        <v>130</v>
      </c>
      <c r="BM1231">
        <v>1</v>
      </c>
      <c r="BN1231">
        <v>0</v>
      </c>
      <c r="BO1231">
        <v>0</v>
      </c>
      <c r="BP1231">
        <v>0</v>
      </c>
      <c r="BT1231">
        <v>0</v>
      </c>
      <c r="BU1231">
        <v>0</v>
      </c>
      <c r="CE1231" t="str">
        <f>"20:28:23.333"</f>
        <v>20:28:23.333</v>
      </c>
      <c r="CF1231">
        <v>332627829</v>
      </c>
      <c r="CS1231">
        <v>0</v>
      </c>
      <c r="CT1231">
        <v>2</v>
      </c>
      <c r="CU1231">
        <v>0</v>
      </c>
      <c r="CV1231">
        <v>2</v>
      </c>
      <c r="CW1231">
        <v>0</v>
      </c>
      <c r="CX1231">
        <v>3</v>
      </c>
      <c r="CY1231">
        <v>7</v>
      </c>
      <c r="CZ1231" t="s">
        <v>131</v>
      </c>
      <c r="DA1231">
        <v>116</v>
      </c>
      <c r="DB1231">
        <v>0</v>
      </c>
      <c r="DC1231" t="s">
        <v>132</v>
      </c>
      <c r="DD1231" t="s">
        <v>133</v>
      </c>
      <c r="DG1231">
        <v>14790020</v>
      </c>
      <c r="DI1231">
        <v>0</v>
      </c>
      <c r="DJ1231">
        <v>1</v>
      </c>
      <c r="DK1231">
        <v>0</v>
      </c>
      <c r="DL1231">
        <v>0</v>
      </c>
      <c r="DM1231">
        <v>0</v>
      </c>
      <c r="DN1231">
        <v>0</v>
      </c>
      <c r="DO1231">
        <v>0</v>
      </c>
      <c r="DP1231">
        <v>1</v>
      </c>
      <c r="DQ1231">
        <v>0</v>
      </c>
      <c r="DR1231">
        <v>0</v>
      </c>
      <c r="DS1231">
        <v>1</v>
      </c>
    </row>
    <row r="1232" spans="1:123" x14ac:dyDescent="0.25">
      <c r="A1232" t="str">
        <f>"11/29/2023 20:28:23.618"</f>
        <v>11/29/2023 20:28:23.618</v>
      </c>
      <c r="C1232" t="str">
        <f t="shared" ref="C1232:C1295" si="140">"FFDF53C0"</f>
        <v>FFDF53C0</v>
      </c>
      <c r="D1232" t="s">
        <v>123</v>
      </c>
      <c r="E1232">
        <v>14</v>
      </c>
      <c r="F1232">
        <v>1014</v>
      </c>
      <c r="G1232" t="s">
        <v>124</v>
      </c>
      <c r="J1232" t="s">
        <v>125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>"20:28:23.328"</f>
        <v>20:28:23.328</v>
      </c>
      <c r="T1232" t="str">
        <f>"20:28:23.128"</f>
        <v>20:28:23.128</v>
      </c>
      <c r="U1232" t="str">
        <f t="shared" si="138"/>
        <v>AA0632</v>
      </c>
      <c r="V1232">
        <v>0</v>
      </c>
      <c r="W1232">
        <v>0</v>
      </c>
      <c r="X1232">
        <v>2</v>
      </c>
      <c r="Y1232">
        <v>0</v>
      </c>
      <c r="AA1232">
        <v>0</v>
      </c>
      <c r="AB1232">
        <v>9</v>
      </c>
      <c r="AC1232">
        <v>3</v>
      </c>
      <c r="AD1232">
        <v>0</v>
      </c>
      <c r="AE1232">
        <v>10</v>
      </c>
      <c r="AF1232" t="s">
        <v>126</v>
      </c>
      <c r="AG1232">
        <v>0</v>
      </c>
      <c r="AH1232">
        <v>0</v>
      </c>
      <c r="AI1232">
        <v>2</v>
      </c>
      <c r="AJ1232">
        <v>0</v>
      </c>
      <c r="AK1232" t="s">
        <v>500</v>
      </c>
      <c r="AL1232">
        <v>31.923480000000001</v>
      </c>
      <c r="AM1232" t="s">
        <v>631</v>
      </c>
      <c r="AN1232">
        <v>-100.969291</v>
      </c>
      <c r="AQ1232" t="s">
        <v>129</v>
      </c>
      <c r="AR1232">
        <v>0</v>
      </c>
      <c r="AS1232">
        <v>1</v>
      </c>
      <c r="AT1232">
        <v>-64</v>
      </c>
      <c r="BB1232" t="str">
        <f t="shared" si="139"/>
        <v>1200</v>
      </c>
      <c r="BC1232">
        <v>1</v>
      </c>
      <c r="BD1232" t="str">
        <f t="shared" ref="BD1232:BD1295" si="141">"N745MB  "</f>
        <v xml:space="preserve">N745MB  </v>
      </c>
      <c r="BE1232">
        <v>1</v>
      </c>
      <c r="BG1232">
        <v>0</v>
      </c>
      <c r="BH1232">
        <v>0</v>
      </c>
      <c r="BI1232">
        <v>0</v>
      </c>
      <c r="BL1232" t="s">
        <v>130</v>
      </c>
      <c r="BM1232">
        <v>1</v>
      </c>
      <c r="BN1232">
        <v>0</v>
      </c>
      <c r="BO1232">
        <v>0</v>
      </c>
      <c r="BP1232">
        <v>0</v>
      </c>
      <c r="BT1232">
        <v>0</v>
      </c>
      <c r="BU1232">
        <v>0</v>
      </c>
      <c r="CE1232" t="str">
        <f>"20:28:23.333"</f>
        <v>20:28:23.333</v>
      </c>
      <c r="CF1232">
        <v>332627829</v>
      </c>
      <c r="CS1232">
        <v>0</v>
      </c>
      <c r="CT1232">
        <v>2</v>
      </c>
      <c r="CU1232">
        <v>0</v>
      </c>
      <c r="CV1232">
        <v>2</v>
      </c>
      <c r="CW1232">
        <v>0</v>
      </c>
      <c r="CX1232">
        <v>3</v>
      </c>
      <c r="CY1232">
        <v>7</v>
      </c>
      <c r="CZ1232" t="s">
        <v>131</v>
      </c>
      <c r="DA1232">
        <v>116</v>
      </c>
      <c r="DB1232">
        <v>0</v>
      </c>
      <c r="DC1232" t="s">
        <v>132</v>
      </c>
      <c r="DD1232" t="s">
        <v>133</v>
      </c>
      <c r="DG1232">
        <v>14790020</v>
      </c>
      <c r="DI1232">
        <v>0</v>
      </c>
      <c r="DJ1232">
        <v>1</v>
      </c>
      <c r="DK1232">
        <v>1</v>
      </c>
      <c r="DL1232">
        <v>0</v>
      </c>
      <c r="DM1232">
        <v>0</v>
      </c>
      <c r="DN1232">
        <v>0</v>
      </c>
      <c r="DO1232">
        <v>0</v>
      </c>
      <c r="DP1232">
        <v>1</v>
      </c>
      <c r="DQ1232">
        <v>0</v>
      </c>
      <c r="DR1232">
        <v>0</v>
      </c>
      <c r="DS1232">
        <v>1</v>
      </c>
    </row>
    <row r="1233" spans="1:123" x14ac:dyDescent="0.25">
      <c r="A1233" t="str">
        <f>"11/29/2023 20:28:23.618"</f>
        <v>11/29/2023 20:28:23.618</v>
      </c>
      <c r="C1233" t="str">
        <f t="shared" si="140"/>
        <v>FFDF53C0</v>
      </c>
      <c r="D1233" t="s">
        <v>123</v>
      </c>
      <c r="E1233">
        <v>1</v>
      </c>
      <c r="F1233">
        <v>1001</v>
      </c>
      <c r="G1233" t="s">
        <v>134</v>
      </c>
      <c r="J1233" t="s">
        <v>125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>"20:28:23.328"</f>
        <v>20:28:23.328</v>
      </c>
      <c r="T1233" t="str">
        <f>"20:28:23.128"</f>
        <v>20:28:23.128</v>
      </c>
      <c r="U1233" t="str">
        <f t="shared" si="138"/>
        <v>AA0632</v>
      </c>
      <c r="V1233">
        <v>0</v>
      </c>
      <c r="W1233">
        <v>0</v>
      </c>
      <c r="X1233">
        <v>2</v>
      </c>
      <c r="Y1233">
        <v>0</v>
      </c>
      <c r="AA1233">
        <v>0</v>
      </c>
      <c r="AB1233">
        <v>9</v>
      </c>
      <c r="AC1233">
        <v>3</v>
      </c>
      <c r="AD1233">
        <v>0</v>
      </c>
      <c r="AE1233">
        <v>10</v>
      </c>
      <c r="AF1233" t="s">
        <v>126</v>
      </c>
      <c r="AG1233">
        <v>0</v>
      </c>
      <c r="AH1233">
        <v>0</v>
      </c>
      <c r="AI1233">
        <v>2</v>
      </c>
      <c r="AJ1233">
        <v>0</v>
      </c>
      <c r="AK1233" t="s">
        <v>500</v>
      </c>
      <c r="AL1233">
        <v>31.923480000000001</v>
      </c>
      <c r="AM1233" t="s">
        <v>631</v>
      </c>
      <c r="AN1233">
        <v>-100.969291</v>
      </c>
      <c r="AQ1233" t="s">
        <v>129</v>
      </c>
      <c r="AR1233">
        <v>0</v>
      </c>
      <c r="AS1233">
        <v>1</v>
      </c>
      <c r="AT1233">
        <v>-64</v>
      </c>
      <c r="BB1233" t="str">
        <f t="shared" si="139"/>
        <v>1200</v>
      </c>
      <c r="BC1233">
        <v>1</v>
      </c>
      <c r="BD1233" t="str">
        <f t="shared" si="141"/>
        <v xml:space="preserve">N745MB  </v>
      </c>
      <c r="BE1233">
        <v>1</v>
      </c>
      <c r="BG1233">
        <v>0</v>
      </c>
      <c r="BH1233">
        <v>0</v>
      </c>
      <c r="BI1233">
        <v>0</v>
      </c>
      <c r="BL1233" t="s">
        <v>130</v>
      </c>
      <c r="BM1233">
        <v>1</v>
      </c>
      <c r="BN1233">
        <v>0</v>
      </c>
      <c r="BO1233">
        <v>0</v>
      </c>
      <c r="BP1233">
        <v>0</v>
      </c>
      <c r="BT1233">
        <v>0</v>
      </c>
      <c r="BU1233">
        <v>0</v>
      </c>
      <c r="CE1233" t="str">
        <f>"20:28:23.333"</f>
        <v>20:28:23.333</v>
      </c>
      <c r="CF1233">
        <v>332627829</v>
      </c>
      <c r="CS1233">
        <v>0</v>
      </c>
      <c r="CT1233">
        <v>2</v>
      </c>
      <c r="CU1233">
        <v>0</v>
      </c>
      <c r="CV1233">
        <v>2</v>
      </c>
      <c r="CW1233">
        <v>0</v>
      </c>
      <c r="CX1233">
        <v>3</v>
      </c>
      <c r="CY1233">
        <v>7</v>
      </c>
      <c r="CZ1233" t="s">
        <v>131</v>
      </c>
      <c r="DA1233">
        <v>116</v>
      </c>
      <c r="DB1233">
        <v>0</v>
      </c>
      <c r="DC1233" t="s">
        <v>132</v>
      </c>
      <c r="DD1233" t="s">
        <v>133</v>
      </c>
      <c r="DG1233">
        <v>14790020</v>
      </c>
      <c r="DI1233">
        <v>0</v>
      </c>
      <c r="DJ1233">
        <v>1</v>
      </c>
      <c r="DK1233">
        <v>1</v>
      </c>
      <c r="DL1233">
        <v>0</v>
      </c>
      <c r="DM1233">
        <v>0</v>
      </c>
      <c r="DN1233">
        <v>0</v>
      </c>
      <c r="DO1233">
        <v>0</v>
      </c>
      <c r="DP1233">
        <v>1</v>
      </c>
      <c r="DQ1233">
        <v>0</v>
      </c>
      <c r="DR1233">
        <v>0</v>
      </c>
      <c r="DS1233">
        <v>1</v>
      </c>
    </row>
    <row r="1234" spans="1:123" x14ac:dyDescent="0.25">
      <c r="A1234" t="str">
        <f>"11/29/2023 20:28:23.618"</f>
        <v>11/29/2023 20:28:23.618</v>
      </c>
      <c r="C1234" t="str">
        <f t="shared" si="140"/>
        <v>FFDF53C0</v>
      </c>
      <c r="D1234" t="s">
        <v>135</v>
      </c>
      <c r="E1234">
        <v>31</v>
      </c>
      <c r="H1234">
        <v>285</v>
      </c>
      <c r="I1234" t="s">
        <v>136</v>
      </c>
      <c r="J1234" t="s">
        <v>137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>"20:28:23.328"</f>
        <v>20:28:23.328</v>
      </c>
      <c r="T1234" t="str">
        <f>"20:28:23.128"</f>
        <v>20:28:23.128</v>
      </c>
      <c r="U1234" t="str">
        <f t="shared" si="138"/>
        <v>AA0632</v>
      </c>
      <c r="V1234">
        <v>0</v>
      </c>
      <c r="W1234">
        <v>0</v>
      </c>
      <c r="X1234">
        <v>2</v>
      </c>
      <c r="Y1234">
        <v>0</v>
      </c>
      <c r="AA1234">
        <v>0</v>
      </c>
      <c r="AB1234">
        <v>9</v>
      </c>
      <c r="AC1234">
        <v>3</v>
      </c>
      <c r="AD1234">
        <v>0</v>
      </c>
      <c r="AE1234">
        <v>10</v>
      </c>
      <c r="AF1234" t="s">
        <v>126</v>
      </c>
      <c r="AG1234">
        <v>0</v>
      </c>
      <c r="AH1234">
        <v>0</v>
      </c>
      <c r="AI1234">
        <v>2</v>
      </c>
      <c r="AJ1234">
        <v>0</v>
      </c>
      <c r="AK1234" t="s">
        <v>500</v>
      </c>
      <c r="AL1234">
        <v>31.923480000000001</v>
      </c>
      <c r="AM1234" t="s">
        <v>631</v>
      </c>
      <c r="AN1234">
        <v>-100.969291</v>
      </c>
      <c r="AQ1234" t="s">
        <v>129</v>
      </c>
      <c r="AR1234">
        <v>0</v>
      </c>
      <c r="AS1234">
        <v>1</v>
      </c>
      <c r="AT1234">
        <v>-64</v>
      </c>
      <c r="BB1234" t="str">
        <f t="shared" si="139"/>
        <v>1200</v>
      </c>
      <c r="BC1234">
        <v>1</v>
      </c>
      <c r="BD1234" t="str">
        <f t="shared" si="141"/>
        <v xml:space="preserve">N745MB  </v>
      </c>
      <c r="BE1234">
        <v>1</v>
      </c>
      <c r="BG1234">
        <v>0</v>
      </c>
      <c r="BH1234">
        <v>0</v>
      </c>
      <c r="BI1234">
        <v>0</v>
      </c>
      <c r="BL1234" t="s">
        <v>130</v>
      </c>
      <c r="BM1234">
        <v>1</v>
      </c>
      <c r="BN1234">
        <v>0</v>
      </c>
      <c r="BO1234">
        <v>0</v>
      </c>
      <c r="BP1234">
        <v>0</v>
      </c>
      <c r="BT1234">
        <v>0</v>
      </c>
      <c r="BU1234">
        <v>0</v>
      </c>
      <c r="CE1234" t="str">
        <f>"20:28:23.333"</f>
        <v>20:28:23.333</v>
      </c>
      <c r="CF1234">
        <v>332627829</v>
      </c>
      <c r="CS1234">
        <v>0</v>
      </c>
      <c r="CT1234">
        <v>2</v>
      </c>
      <c r="CU1234">
        <v>0</v>
      </c>
      <c r="CV1234">
        <v>2</v>
      </c>
      <c r="CW1234">
        <v>0</v>
      </c>
      <c r="CX1234">
        <v>3</v>
      </c>
      <c r="CY1234">
        <v>7</v>
      </c>
      <c r="CZ1234" t="s">
        <v>131</v>
      </c>
      <c r="DA1234">
        <v>116</v>
      </c>
      <c r="DB1234">
        <v>0</v>
      </c>
      <c r="DC1234" t="s">
        <v>132</v>
      </c>
      <c r="DD1234" t="s">
        <v>133</v>
      </c>
      <c r="DG1234">
        <v>14790020</v>
      </c>
      <c r="DI1234">
        <v>0</v>
      </c>
      <c r="DJ1234">
        <v>1</v>
      </c>
      <c r="DK1234">
        <v>1</v>
      </c>
      <c r="DL1234">
        <v>0</v>
      </c>
      <c r="DM1234">
        <v>0</v>
      </c>
      <c r="DN1234">
        <v>0</v>
      </c>
      <c r="DO1234">
        <v>0</v>
      </c>
      <c r="DP1234">
        <v>1</v>
      </c>
      <c r="DQ1234">
        <v>0</v>
      </c>
      <c r="DR1234">
        <v>0</v>
      </c>
      <c r="DS1234">
        <v>1</v>
      </c>
    </row>
    <row r="1235" spans="1:123" x14ac:dyDescent="0.25">
      <c r="A1235" t="str">
        <f>"11/29/2023 20:28:25.274"</f>
        <v>11/29/2023 20:28:25.274</v>
      </c>
      <c r="C1235" t="str">
        <f t="shared" si="140"/>
        <v>FFDF53C0</v>
      </c>
      <c r="D1235" t="s">
        <v>123</v>
      </c>
      <c r="E1235">
        <v>14</v>
      </c>
      <c r="F1235">
        <v>1014</v>
      </c>
      <c r="G1235" t="s">
        <v>124</v>
      </c>
      <c r="J1235" t="s">
        <v>125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>"20:28:24.742"</f>
        <v>20:28:24.742</v>
      </c>
      <c r="T1235" t="str">
        <f>"20:28:24.642"</f>
        <v>20:28:24.642</v>
      </c>
      <c r="U1235" t="str">
        <f t="shared" si="138"/>
        <v>AA0632</v>
      </c>
      <c r="V1235">
        <v>0</v>
      </c>
      <c r="W1235">
        <v>0</v>
      </c>
      <c r="X1235">
        <v>2</v>
      </c>
      <c r="Y1235">
        <v>0</v>
      </c>
      <c r="AA1235">
        <v>0</v>
      </c>
      <c r="AB1235">
        <v>9</v>
      </c>
      <c r="AC1235">
        <v>3</v>
      </c>
      <c r="AD1235">
        <v>0</v>
      </c>
      <c r="AE1235">
        <v>10</v>
      </c>
      <c r="AF1235" t="s">
        <v>126</v>
      </c>
      <c r="AG1235">
        <v>0</v>
      </c>
      <c r="AH1235">
        <v>0</v>
      </c>
      <c r="AI1235">
        <v>2</v>
      </c>
      <c r="AJ1235">
        <v>0</v>
      </c>
      <c r="AK1235" t="s">
        <v>500</v>
      </c>
      <c r="AL1235">
        <v>31.923480000000001</v>
      </c>
      <c r="AM1235" t="s">
        <v>631</v>
      </c>
      <c r="AN1235">
        <v>-100.969291</v>
      </c>
      <c r="AQ1235" t="s">
        <v>129</v>
      </c>
      <c r="AR1235">
        <v>0</v>
      </c>
      <c r="AS1235">
        <v>1</v>
      </c>
      <c r="AT1235">
        <v>-64</v>
      </c>
      <c r="BB1235" t="str">
        <f t="shared" si="139"/>
        <v>1200</v>
      </c>
      <c r="BC1235">
        <v>1</v>
      </c>
      <c r="BD1235" t="str">
        <f t="shared" si="141"/>
        <v xml:space="preserve">N745MB  </v>
      </c>
      <c r="BE1235">
        <v>1</v>
      </c>
      <c r="BG1235">
        <v>0</v>
      </c>
      <c r="BH1235">
        <v>0</v>
      </c>
      <c r="BI1235">
        <v>0</v>
      </c>
      <c r="BL1235" t="s">
        <v>130</v>
      </c>
      <c r="BM1235">
        <v>1</v>
      </c>
      <c r="BN1235">
        <v>0</v>
      </c>
      <c r="BO1235">
        <v>0</v>
      </c>
      <c r="BP1235">
        <v>0</v>
      </c>
      <c r="BT1235">
        <v>0</v>
      </c>
      <c r="BU1235">
        <v>0</v>
      </c>
      <c r="CE1235" t="str">
        <f>"20:28:24.745"</f>
        <v>20:28:24.745</v>
      </c>
      <c r="CF1235">
        <v>744528327</v>
      </c>
      <c r="CS1235">
        <v>0</v>
      </c>
      <c r="CT1235">
        <v>2</v>
      </c>
      <c r="CU1235">
        <v>0</v>
      </c>
      <c r="CV1235">
        <v>2</v>
      </c>
      <c r="CW1235">
        <v>0</v>
      </c>
      <c r="CX1235">
        <v>4</v>
      </c>
      <c r="CY1235">
        <v>7</v>
      </c>
      <c r="CZ1235" t="s">
        <v>131</v>
      </c>
      <c r="DA1235">
        <v>116</v>
      </c>
      <c r="DB1235">
        <v>0</v>
      </c>
      <c r="DC1235" t="s">
        <v>132</v>
      </c>
      <c r="DD1235" t="s">
        <v>133</v>
      </c>
      <c r="DG1235">
        <v>14791193</v>
      </c>
      <c r="DI1235">
        <v>0</v>
      </c>
      <c r="DJ1235">
        <v>1</v>
      </c>
      <c r="DK1235">
        <v>0</v>
      </c>
      <c r="DL1235">
        <v>0</v>
      </c>
      <c r="DM1235">
        <v>0</v>
      </c>
      <c r="DN1235">
        <v>0</v>
      </c>
      <c r="DO1235">
        <v>0</v>
      </c>
      <c r="DP1235">
        <v>1</v>
      </c>
      <c r="DQ1235">
        <v>0</v>
      </c>
      <c r="DR1235">
        <v>0</v>
      </c>
      <c r="DS1235">
        <v>1</v>
      </c>
    </row>
    <row r="1236" spans="1:123" x14ac:dyDescent="0.25">
      <c r="A1236" t="str">
        <f>"11/29/2023 20:28:25.274"</f>
        <v>11/29/2023 20:28:25.274</v>
      </c>
      <c r="C1236" t="str">
        <f t="shared" si="140"/>
        <v>FFDF53C0</v>
      </c>
      <c r="D1236" t="s">
        <v>123</v>
      </c>
      <c r="E1236">
        <v>1</v>
      </c>
      <c r="F1236">
        <v>1001</v>
      </c>
      <c r="G1236" t="s">
        <v>134</v>
      </c>
      <c r="J1236" t="s">
        <v>125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>"20:28:24.742"</f>
        <v>20:28:24.742</v>
      </c>
      <c r="T1236" t="str">
        <f>"20:28:24.642"</f>
        <v>20:28:24.642</v>
      </c>
      <c r="U1236" t="str">
        <f t="shared" si="138"/>
        <v>AA0632</v>
      </c>
      <c r="V1236">
        <v>0</v>
      </c>
      <c r="W1236">
        <v>0</v>
      </c>
      <c r="X1236">
        <v>2</v>
      </c>
      <c r="Y1236">
        <v>0</v>
      </c>
      <c r="AA1236">
        <v>0</v>
      </c>
      <c r="AB1236">
        <v>9</v>
      </c>
      <c r="AC1236">
        <v>3</v>
      </c>
      <c r="AD1236">
        <v>0</v>
      </c>
      <c r="AE1236">
        <v>10</v>
      </c>
      <c r="AF1236" t="s">
        <v>126</v>
      </c>
      <c r="AG1236">
        <v>0</v>
      </c>
      <c r="AH1236">
        <v>0</v>
      </c>
      <c r="AI1236">
        <v>2</v>
      </c>
      <c r="AJ1236">
        <v>0</v>
      </c>
      <c r="AK1236" t="s">
        <v>500</v>
      </c>
      <c r="AL1236">
        <v>31.923480000000001</v>
      </c>
      <c r="AM1236" t="s">
        <v>631</v>
      </c>
      <c r="AN1236">
        <v>-100.969291</v>
      </c>
      <c r="AQ1236" t="s">
        <v>129</v>
      </c>
      <c r="AR1236">
        <v>0</v>
      </c>
      <c r="AS1236">
        <v>1</v>
      </c>
      <c r="AT1236">
        <v>-64</v>
      </c>
      <c r="BB1236" t="str">
        <f t="shared" si="139"/>
        <v>1200</v>
      </c>
      <c r="BC1236">
        <v>1</v>
      </c>
      <c r="BD1236" t="str">
        <f t="shared" si="141"/>
        <v xml:space="preserve">N745MB  </v>
      </c>
      <c r="BE1236">
        <v>1</v>
      </c>
      <c r="BG1236">
        <v>0</v>
      </c>
      <c r="BH1236">
        <v>0</v>
      </c>
      <c r="BI1236">
        <v>0</v>
      </c>
      <c r="BL1236" t="s">
        <v>130</v>
      </c>
      <c r="BM1236">
        <v>1</v>
      </c>
      <c r="BN1236">
        <v>0</v>
      </c>
      <c r="BO1236">
        <v>0</v>
      </c>
      <c r="BP1236">
        <v>0</v>
      </c>
      <c r="BT1236">
        <v>0</v>
      </c>
      <c r="BU1236">
        <v>0</v>
      </c>
      <c r="CE1236" t="str">
        <f>"20:28:24.745"</f>
        <v>20:28:24.745</v>
      </c>
      <c r="CF1236">
        <v>744528327</v>
      </c>
      <c r="CS1236">
        <v>0</v>
      </c>
      <c r="CT1236">
        <v>2</v>
      </c>
      <c r="CU1236">
        <v>0</v>
      </c>
      <c r="CV1236">
        <v>2</v>
      </c>
      <c r="CW1236">
        <v>0</v>
      </c>
      <c r="CX1236">
        <v>4</v>
      </c>
      <c r="CY1236">
        <v>7</v>
      </c>
      <c r="CZ1236" t="s">
        <v>131</v>
      </c>
      <c r="DA1236">
        <v>116</v>
      </c>
      <c r="DB1236">
        <v>0</v>
      </c>
      <c r="DC1236" t="s">
        <v>132</v>
      </c>
      <c r="DD1236" t="s">
        <v>133</v>
      </c>
      <c r="DG1236">
        <v>14791193</v>
      </c>
      <c r="DI1236">
        <v>0</v>
      </c>
      <c r="DJ1236">
        <v>1</v>
      </c>
      <c r="DK1236">
        <v>1</v>
      </c>
      <c r="DL1236">
        <v>0</v>
      </c>
      <c r="DM1236">
        <v>0</v>
      </c>
      <c r="DN1236">
        <v>0</v>
      </c>
      <c r="DO1236">
        <v>0</v>
      </c>
      <c r="DP1236">
        <v>1</v>
      </c>
      <c r="DQ1236">
        <v>0</v>
      </c>
      <c r="DR1236">
        <v>0</v>
      </c>
      <c r="DS1236">
        <v>1</v>
      </c>
    </row>
    <row r="1237" spans="1:123" x14ac:dyDescent="0.25">
      <c r="A1237" t="str">
        <f>"11/29/2023 20:28:26.259"</f>
        <v>11/29/2023 20:28:26.259</v>
      </c>
      <c r="C1237" t="str">
        <f t="shared" si="140"/>
        <v>FFDF53C0</v>
      </c>
      <c r="D1237" t="s">
        <v>123</v>
      </c>
      <c r="E1237">
        <v>14</v>
      </c>
      <c r="F1237">
        <v>1014</v>
      </c>
      <c r="G1237" t="s">
        <v>124</v>
      </c>
      <c r="J1237" t="s">
        <v>125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>"20:28:25.875"</f>
        <v>20:28:25.875</v>
      </c>
      <c r="T1237" t="str">
        <f>"20:28:25.575"</f>
        <v>20:28:25.575</v>
      </c>
      <c r="U1237" t="str">
        <f t="shared" si="138"/>
        <v>AA0632</v>
      </c>
      <c r="V1237">
        <v>0</v>
      </c>
      <c r="W1237">
        <v>0</v>
      </c>
      <c r="X1237">
        <v>2</v>
      </c>
      <c r="Y1237">
        <v>0</v>
      </c>
      <c r="AA1237">
        <v>0</v>
      </c>
      <c r="AB1237">
        <v>9</v>
      </c>
      <c r="AC1237">
        <v>3</v>
      </c>
      <c r="AD1237">
        <v>0</v>
      </c>
      <c r="AE1237">
        <v>10</v>
      </c>
      <c r="AF1237" t="s">
        <v>126</v>
      </c>
      <c r="AG1237">
        <v>0</v>
      </c>
      <c r="AH1237">
        <v>0</v>
      </c>
      <c r="AI1237">
        <v>2</v>
      </c>
      <c r="AJ1237">
        <v>0</v>
      </c>
      <c r="AK1237" t="s">
        <v>500</v>
      </c>
      <c r="AL1237">
        <v>31.923480000000001</v>
      </c>
      <c r="AM1237" t="s">
        <v>631</v>
      </c>
      <c r="AN1237">
        <v>-100.969291</v>
      </c>
      <c r="AQ1237" t="s">
        <v>129</v>
      </c>
      <c r="AR1237">
        <v>0</v>
      </c>
      <c r="AS1237">
        <v>0</v>
      </c>
      <c r="AT1237">
        <v>0</v>
      </c>
      <c r="BB1237" t="str">
        <f t="shared" si="139"/>
        <v>1200</v>
      </c>
      <c r="BC1237">
        <v>1</v>
      </c>
      <c r="BD1237" t="str">
        <f t="shared" si="141"/>
        <v xml:space="preserve">N745MB  </v>
      </c>
      <c r="BE1237">
        <v>1</v>
      </c>
      <c r="BG1237">
        <v>0</v>
      </c>
      <c r="BH1237">
        <v>0</v>
      </c>
      <c r="BI1237">
        <v>0</v>
      </c>
      <c r="BL1237" t="s">
        <v>130</v>
      </c>
      <c r="BM1237">
        <v>1</v>
      </c>
      <c r="BN1237">
        <v>0</v>
      </c>
      <c r="BO1237">
        <v>0</v>
      </c>
      <c r="BP1237">
        <v>0</v>
      </c>
      <c r="BT1237">
        <v>0</v>
      </c>
      <c r="BU1237">
        <v>0</v>
      </c>
      <c r="CE1237" t="str">
        <f>"20:28:25.880"</f>
        <v>20:28:25.880</v>
      </c>
      <c r="CF1237">
        <v>880452137</v>
      </c>
      <c r="CS1237">
        <v>0</v>
      </c>
      <c r="CT1237">
        <v>2</v>
      </c>
      <c r="CU1237">
        <v>0</v>
      </c>
      <c r="CV1237">
        <v>2</v>
      </c>
      <c r="CW1237">
        <v>0</v>
      </c>
      <c r="CX1237">
        <v>4</v>
      </c>
      <c r="CY1237">
        <v>7</v>
      </c>
      <c r="CZ1237" t="s">
        <v>131</v>
      </c>
      <c r="DA1237">
        <v>116</v>
      </c>
      <c r="DB1237">
        <v>3</v>
      </c>
      <c r="DC1237" t="s">
        <v>132</v>
      </c>
      <c r="DD1237" t="s">
        <v>133</v>
      </c>
      <c r="DG1237">
        <v>8489426</v>
      </c>
      <c r="DI1237">
        <v>0</v>
      </c>
      <c r="DJ1237">
        <v>1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1</v>
      </c>
      <c r="DQ1237">
        <v>0</v>
      </c>
      <c r="DR1237">
        <v>0</v>
      </c>
      <c r="DS1237">
        <v>1</v>
      </c>
    </row>
    <row r="1238" spans="1:123" x14ac:dyDescent="0.25">
      <c r="A1238" t="str">
        <f>"11/29/2023 20:28:26.259"</f>
        <v>11/29/2023 20:28:26.259</v>
      </c>
      <c r="C1238" t="str">
        <f t="shared" si="140"/>
        <v>FFDF53C0</v>
      </c>
      <c r="D1238" t="s">
        <v>123</v>
      </c>
      <c r="E1238">
        <v>1</v>
      </c>
      <c r="F1238">
        <v>1001</v>
      </c>
      <c r="G1238" t="s">
        <v>134</v>
      </c>
      <c r="J1238" t="s">
        <v>125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>"20:28:25.875"</f>
        <v>20:28:25.875</v>
      </c>
      <c r="T1238" t="str">
        <f>"20:28:25.575"</f>
        <v>20:28:25.575</v>
      </c>
      <c r="U1238" t="str">
        <f t="shared" si="138"/>
        <v>AA0632</v>
      </c>
      <c r="V1238">
        <v>0</v>
      </c>
      <c r="W1238">
        <v>0</v>
      </c>
      <c r="X1238">
        <v>2</v>
      </c>
      <c r="Y1238">
        <v>0</v>
      </c>
      <c r="AA1238">
        <v>0</v>
      </c>
      <c r="AB1238">
        <v>9</v>
      </c>
      <c r="AC1238">
        <v>3</v>
      </c>
      <c r="AD1238">
        <v>0</v>
      </c>
      <c r="AE1238">
        <v>10</v>
      </c>
      <c r="AF1238" t="s">
        <v>126</v>
      </c>
      <c r="AG1238">
        <v>0</v>
      </c>
      <c r="AH1238">
        <v>0</v>
      </c>
      <c r="AI1238">
        <v>2</v>
      </c>
      <c r="AJ1238">
        <v>0</v>
      </c>
      <c r="AK1238" t="s">
        <v>500</v>
      </c>
      <c r="AL1238">
        <v>31.923480000000001</v>
      </c>
      <c r="AM1238" t="s">
        <v>631</v>
      </c>
      <c r="AN1238">
        <v>-100.969291</v>
      </c>
      <c r="AQ1238" t="s">
        <v>129</v>
      </c>
      <c r="AR1238">
        <v>0</v>
      </c>
      <c r="AS1238">
        <v>0</v>
      </c>
      <c r="AT1238">
        <v>0</v>
      </c>
      <c r="BB1238" t="str">
        <f t="shared" si="139"/>
        <v>1200</v>
      </c>
      <c r="BC1238">
        <v>1</v>
      </c>
      <c r="BD1238" t="str">
        <f t="shared" si="141"/>
        <v xml:space="preserve">N745MB  </v>
      </c>
      <c r="BE1238">
        <v>1</v>
      </c>
      <c r="BG1238">
        <v>0</v>
      </c>
      <c r="BH1238">
        <v>0</v>
      </c>
      <c r="BI1238">
        <v>0</v>
      </c>
      <c r="BL1238" t="s">
        <v>130</v>
      </c>
      <c r="BM1238">
        <v>1</v>
      </c>
      <c r="BN1238">
        <v>0</v>
      </c>
      <c r="BO1238">
        <v>0</v>
      </c>
      <c r="BP1238">
        <v>0</v>
      </c>
      <c r="BT1238">
        <v>0</v>
      </c>
      <c r="BU1238">
        <v>0</v>
      </c>
      <c r="CE1238" t="str">
        <f>"20:28:25.880"</f>
        <v>20:28:25.880</v>
      </c>
      <c r="CF1238">
        <v>880452137</v>
      </c>
      <c r="CS1238">
        <v>0</v>
      </c>
      <c r="CT1238">
        <v>2</v>
      </c>
      <c r="CU1238">
        <v>0</v>
      </c>
      <c r="CV1238">
        <v>2</v>
      </c>
      <c r="CW1238">
        <v>0</v>
      </c>
      <c r="CX1238">
        <v>4</v>
      </c>
      <c r="CY1238">
        <v>7</v>
      </c>
      <c r="CZ1238" t="s">
        <v>131</v>
      </c>
      <c r="DA1238">
        <v>116</v>
      </c>
      <c r="DB1238">
        <v>3</v>
      </c>
      <c r="DC1238" t="s">
        <v>132</v>
      </c>
      <c r="DD1238" t="s">
        <v>133</v>
      </c>
      <c r="DG1238">
        <v>8489426</v>
      </c>
      <c r="DI1238">
        <v>0</v>
      </c>
      <c r="DJ1238">
        <v>1</v>
      </c>
      <c r="DK1238">
        <v>1</v>
      </c>
      <c r="DL1238">
        <v>0</v>
      </c>
      <c r="DM1238">
        <v>0</v>
      </c>
      <c r="DN1238">
        <v>0</v>
      </c>
      <c r="DO1238">
        <v>0</v>
      </c>
      <c r="DP1238">
        <v>1</v>
      </c>
      <c r="DQ1238">
        <v>0</v>
      </c>
      <c r="DR1238">
        <v>0</v>
      </c>
      <c r="DS1238">
        <v>1</v>
      </c>
    </row>
    <row r="1239" spans="1:123" x14ac:dyDescent="0.25">
      <c r="A1239" t="str">
        <f>"11/29/2023 20:28:26.290"</f>
        <v>11/29/2023 20:28:26.290</v>
      </c>
      <c r="C1239" t="str">
        <f t="shared" si="140"/>
        <v>FFDF53C0</v>
      </c>
      <c r="D1239" t="s">
        <v>135</v>
      </c>
      <c r="E1239">
        <v>31</v>
      </c>
      <c r="H1239">
        <v>285</v>
      </c>
      <c r="I1239" t="s">
        <v>136</v>
      </c>
      <c r="J1239" t="s">
        <v>137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>"20:28:25.875"</f>
        <v>20:28:25.875</v>
      </c>
      <c r="T1239" t="str">
        <f>"20:28:25.575"</f>
        <v>20:28:25.575</v>
      </c>
      <c r="U1239" t="str">
        <f t="shared" si="138"/>
        <v>AA0632</v>
      </c>
      <c r="V1239">
        <v>0</v>
      </c>
      <c r="W1239">
        <v>0</v>
      </c>
      <c r="X1239">
        <v>2</v>
      </c>
      <c r="Y1239">
        <v>0</v>
      </c>
      <c r="AA1239">
        <v>0</v>
      </c>
      <c r="AB1239">
        <v>9</v>
      </c>
      <c r="AC1239">
        <v>3</v>
      </c>
      <c r="AD1239">
        <v>0</v>
      </c>
      <c r="AE1239">
        <v>10</v>
      </c>
      <c r="AF1239" t="s">
        <v>126</v>
      </c>
      <c r="AG1239">
        <v>0</v>
      </c>
      <c r="AH1239">
        <v>0</v>
      </c>
      <c r="AI1239">
        <v>2</v>
      </c>
      <c r="AJ1239">
        <v>0</v>
      </c>
      <c r="AK1239" t="s">
        <v>500</v>
      </c>
      <c r="AL1239">
        <v>31.923480000000001</v>
      </c>
      <c r="AM1239" t="s">
        <v>631</v>
      </c>
      <c r="AN1239">
        <v>-100.969291</v>
      </c>
      <c r="AQ1239" t="s">
        <v>129</v>
      </c>
      <c r="AR1239">
        <v>0</v>
      </c>
      <c r="AS1239">
        <v>0</v>
      </c>
      <c r="AT1239">
        <v>0</v>
      </c>
      <c r="BB1239" t="str">
        <f t="shared" si="139"/>
        <v>1200</v>
      </c>
      <c r="BC1239">
        <v>1</v>
      </c>
      <c r="BD1239" t="str">
        <f t="shared" si="141"/>
        <v xml:space="preserve">N745MB  </v>
      </c>
      <c r="BE1239">
        <v>1</v>
      </c>
      <c r="BG1239">
        <v>0</v>
      </c>
      <c r="BH1239">
        <v>0</v>
      </c>
      <c r="BI1239">
        <v>0</v>
      </c>
      <c r="BL1239" t="s">
        <v>130</v>
      </c>
      <c r="BM1239">
        <v>1</v>
      </c>
      <c r="BN1239">
        <v>0</v>
      </c>
      <c r="BO1239">
        <v>0</v>
      </c>
      <c r="BP1239">
        <v>0</v>
      </c>
      <c r="BT1239">
        <v>0</v>
      </c>
      <c r="BU1239">
        <v>0</v>
      </c>
      <c r="CE1239" t="str">
        <f>"20:28:25.880"</f>
        <v>20:28:25.880</v>
      </c>
      <c r="CF1239">
        <v>880452137</v>
      </c>
      <c r="CS1239">
        <v>0</v>
      </c>
      <c r="CT1239">
        <v>2</v>
      </c>
      <c r="CU1239">
        <v>0</v>
      </c>
      <c r="CV1239">
        <v>2</v>
      </c>
      <c r="CW1239">
        <v>0</v>
      </c>
      <c r="CX1239">
        <v>4</v>
      </c>
      <c r="CY1239">
        <v>7</v>
      </c>
      <c r="CZ1239" t="s">
        <v>131</v>
      </c>
      <c r="DA1239">
        <v>116</v>
      </c>
      <c r="DB1239">
        <v>3</v>
      </c>
      <c r="DC1239" t="s">
        <v>132</v>
      </c>
      <c r="DD1239" t="s">
        <v>133</v>
      </c>
      <c r="DG1239">
        <v>8489426</v>
      </c>
      <c r="DI1239">
        <v>0</v>
      </c>
      <c r="DJ1239">
        <v>1</v>
      </c>
      <c r="DK1239">
        <v>1</v>
      </c>
      <c r="DL1239">
        <v>0</v>
      </c>
      <c r="DM1239">
        <v>0</v>
      </c>
      <c r="DN1239">
        <v>0</v>
      </c>
      <c r="DO1239">
        <v>0</v>
      </c>
      <c r="DP1239">
        <v>1</v>
      </c>
      <c r="DQ1239">
        <v>0</v>
      </c>
      <c r="DR1239">
        <v>0</v>
      </c>
      <c r="DS1239">
        <v>1</v>
      </c>
    </row>
    <row r="1240" spans="1:123" x14ac:dyDescent="0.25">
      <c r="A1240" t="str">
        <f>"11/29/2023 20:28:26.290"</f>
        <v>11/29/2023 20:28:26.290</v>
      </c>
      <c r="C1240" t="str">
        <f t="shared" si="140"/>
        <v>FFDF53C0</v>
      </c>
      <c r="D1240" t="s">
        <v>138</v>
      </c>
      <c r="E1240">
        <v>3</v>
      </c>
      <c r="H1240">
        <v>160</v>
      </c>
      <c r="I1240" t="s">
        <v>124</v>
      </c>
      <c r="J1240" t="s">
        <v>139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>"20:28:25.875"</f>
        <v>20:28:25.875</v>
      </c>
      <c r="T1240" t="str">
        <f>"20:28:25.575"</f>
        <v>20:28:25.575</v>
      </c>
      <c r="U1240" t="str">
        <f t="shared" si="138"/>
        <v>AA0632</v>
      </c>
      <c r="V1240">
        <v>0</v>
      </c>
      <c r="W1240">
        <v>0</v>
      </c>
      <c r="X1240">
        <v>2</v>
      </c>
      <c r="Y1240">
        <v>0</v>
      </c>
      <c r="AA1240">
        <v>0</v>
      </c>
      <c r="AB1240">
        <v>9</v>
      </c>
      <c r="AC1240">
        <v>3</v>
      </c>
      <c r="AD1240">
        <v>0</v>
      </c>
      <c r="AE1240">
        <v>10</v>
      </c>
      <c r="AF1240" t="s">
        <v>126</v>
      </c>
      <c r="AG1240">
        <v>0</v>
      </c>
      <c r="AH1240">
        <v>0</v>
      </c>
      <c r="AI1240">
        <v>2</v>
      </c>
      <c r="AJ1240">
        <v>0</v>
      </c>
      <c r="AK1240" t="s">
        <v>500</v>
      </c>
      <c r="AL1240">
        <v>31.923480000000001</v>
      </c>
      <c r="AM1240" t="s">
        <v>631</v>
      </c>
      <c r="AN1240">
        <v>-100.969291</v>
      </c>
      <c r="AQ1240" t="s">
        <v>129</v>
      </c>
      <c r="AR1240">
        <v>0</v>
      </c>
      <c r="AS1240">
        <v>0</v>
      </c>
      <c r="AT1240">
        <v>0</v>
      </c>
      <c r="BB1240" t="str">
        <f t="shared" si="139"/>
        <v>1200</v>
      </c>
      <c r="BC1240">
        <v>1</v>
      </c>
      <c r="BD1240" t="str">
        <f t="shared" si="141"/>
        <v xml:space="preserve">N745MB  </v>
      </c>
      <c r="BE1240">
        <v>1</v>
      </c>
      <c r="BG1240">
        <v>0</v>
      </c>
      <c r="BH1240">
        <v>0</v>
      </c>
      <c r="BI1240">
        <v>0</v>
      </c>
      <c r="BL1240" t="s">
        <v>130</v>
      </c>
      <c r="BM1240">
        <v>1</v>
      </c>
      <c r="BN1240">
        <v>0</v>
      </c>
      <c r="BO1240">
        <v>0</v>
      </c>
      <c r="BP1240">
        <v>0</v>
      </c>
      <c r="BT1240">
        <v>0</v>
      </c>
      <c r="BU1240">
        <v>0</v>
      </c>
      <c r="CE1240" t="str">
        <f>"20:28:25.880"</f>
        <v>20:28:25.880</v>
      </c>
      <c r="CF1240">
        <v>880452137</v>
      </c>
      <c r="CS1240">
        <v>0</v>
      </c>
      <c r="CT1240">
        <v>2</v>
      </c>
      <c r="CU1240">
        <v>0</v>
      </c>
      <c r="CV1240">
        <v>2</v>
      </c>
      <c r="CW1240">
        <v>0</v>
      </c>
      <c r="CX1240">
        <v>4</v>
      </c>
      <c r="CY1240">
        <v>7</v>
      </c>
      <c r="CZ1240" t="s">
        <v>131</v>
      </c>
      <c r="DA1240">
        <v>116</v>
      </c>
      <c r="DB1240">
        <v>3</v>
      </c>
      <c r="DC1240" t="s">
        <v>132</v>
      </c>
      <c r="DD1240" t="s">
        <v>133</v>
      </c>
      <c r="DG1240">
        <v>8489426</v>
      </c>
      <c r="DI1240">
        <v>0</v>
      </c>
      <c r="DJ1240">
        <v>1</v>
      </c>
      <c r="DK1240">
        <v>1</v>
      </c>
      <c r="DL1240">
        <v>0</v>
      </c>
      <c r="DM1240">
        <v>0</v>
      </c>
      <c r="DN1240">
        <v>0</v>
      </c>
      <c r="DO1240">
        <v>0</v>
      </c>
      <c r="DP1240">
        <v>1</v>
      </c>
      <c r="DQ1240">
        <v>0</v>
      </c>
      <c r="DR1240">
        <v>0</v>
      </c>
      <c r="DS1240">
        <v>1</v>
      </c>
    </row>
    <row r="1241" spans="1:123" x14ac:dyDescent="0.25">
      <c r="A1241" t="str">
        <f>"11/29/2023 20:28:27.603"</f>
        <v>11/29/2023 20:28:27.603</v>
      </c>
      <c r="C1241" t="str">
        <f t="shared" si="140"/>
        <v>FFDF53C0</v>
      </c>
      <c r="D1241" t="s">
        <v>135</v>
      </c>
      <c r="E1241">
        <v>31</v>
      </c>
      <c r="H1241">
        <v>285</v>
      </c>
      <c r="I1241" t="s">
        <v>136</v>
      </c>
      <c r="J1241" t="s">
        <v>137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>"20:28:27.281"</f>
        <v>20:28:27.281</v>
      </c>
      <c r="T1241" t="str">
        <f>"20:28:26.581"</f>
        <v>20:28:26.581</v>
      </c>
      <c r="U1241" t="str">
        <f t="shared" si="138"/>
        <v>AA0632</v>
      </c>
      <c r="V1241">
        <v>0</v>
      </c>
      <c r="W1241">
        <v>0</v>
      </c>
      <c r="X1241">
        <v>2</v>
      </c>
      <c r="Y1241">
        <v>0</v>
      </c>
      <c r="AA1241">
        <v>0</v>
      </c>
      <c r="AB1241">
        <v>9</v>
      </c>
      <c r="AC1241">
        <v>3</v>
      </c>
      <c r="AD1241">
        <v>0</v>
      </c>
      <c r="AE1241">
        <v>10</v>
      </c>
      <c r="AF1241" t="s">
        <v>126</v>
      </c>
      <c r="AG1241">
        <v>0</v>
      </c>
      <c r="AH1241">
        <v>0</v>
      </c>
      <c r="AI1241">
        <v>2</v>
      </c>
      <c r="AJ1241">
        <v>0</v>
      </c>
      <c r="AK1241" t="s">
        <v>500</v>
      </c>
      <c r="AL1241">
        <v>31.923480000000001</v>
      </c>
      <c r="AM1241" t="s">
        <v>631</v>
      </c>
      <c r="AN1241">
        <v>-100.969291</v>
      </c>
      <c r="AQ1241" t="s">
        <v>129</v>
      </c>
      <c r="AR1241">
        <v>0</v>
      </c>
      <c r="AS1241">
        <v>1</v>
      </c>
      <c r="AT1241">
        <v>-64</v>
      </c>
      <c r="BB1241" t="str">
        <f t="shared" si="139"/>
        <v>1200</v>
      </c>
      <c r="BC1241">
        <v>1</v>
      </c>
      <c r="BD1241" t="str">
        <f t="shared" si="141"/>
        <v xml:space="preserve">N745MB  </v>
      </c>
      <c r="BE1241">
        <v>1</v>
      </c>
      <c r="BG1241">
        <v>0</v>
      </c>
      <c r="BH1241">
        <v>0</v>
      </c>
      <c r="BI1241">
        <v>0</v>
      </c>
      <c r="BL1241" t="s">
        <v>130</v>
      </c>
      <c r="BM1241">
        <v>1</v>
      </c>
      <c r="BN1241">
        <v>0</v>
      </c>
      <c r="BO1241">
        <v>0</v>
      </c>
      <c r="BP1241">
        <v>0</v>
      </c>
      <c r="BT1241">
        <v>0</v>
      </c>
      <c r="BU1241">
        <v>0</v>
      </c>
      <c r="CE1241" t="str">
        <f>"20:28:27.284"</f>
        <v>20:28:27.284</v>
      </c>
      <c r="CF1241">
        <v>284362808</v>
      </c>
      <c r="CS1241">
        <v>0</v>
      </c>
      <c r="CT1241">
        <v>2</v>
      </c>
      <c r="CU1241">
        <v>0</v>
      </c>
      <c r="CV1241">
        <v>2</v>
      </c>
      <c r="CW1241">
        <v>0</v>
      </c>
      <c r="CX1241">
        <v>3</v>
      </c>
      <c r="CY1241">
        <v>7</v>
      </c>
      <c r="CZ1241" t="s">
        <v>131</v>
      </c>
      <c r="DA1241">
        <v>116</v>
      </c>
      <c r="DB1241">
        <v>3</v>
      </c>
      <c r="DC1241" t="s">
        <v>132</v>
      </c>
      <c r="DD1241" t="s">
        <v>133</v>
      </c>
      <c r="DG1241">
        <v>8490116</v>
      </c>
      <c r="DI1241">
        <v>0</v>
      </c>
      <c r="DJ1241">
        <v>1</v>
      </c>
      <c r="DK1241">
        <v>0</v>
      </c>
      <c r="DL1241">
        <v>0</v>
      </c>
      <c r="DM1241">
        <v>0</v>
      </c>
      <c r="DN1241">
        <v>0</v>
      </c>
      <c r="DO1241">
        <v>0</v>
      </c>
      <c r="DP1241">
        <v>1</v>
      </c>
      <c r="DQ1241">
        <v>0</v>
      </c>
      <c r="DR1241">
        <v>0</v>
      </c>
      <c r="DS1241">
        <v>1</v>
      </c>
    </row>
    <row r="1242" spans="1:123" x14ac:dyDescent="0.25">
      <c r="A1242" t="str">
        <f>"11/29/2023 20:28:27.603"</f>
        <v>11/29/2023 20:28:27.603</v>
      </c>
      <c r="C1242" t="str">
        <f t="shared" si="140"/>
        <v>FFDF53C0</v>
      </c>
      <c r="D1242" t="s">
        <v>123</v>
      </c>
      <c r="E1242">
        <v>14</v>
      </c>
      <c r="F1242">
        <v>1014</v>
      </c>
      <c r="G1242" t="s">
        <v>124</v>
      </c>
      <c r="J1242" t="s">
        <v>125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>"20:28:27.281"</f>
        <v>20:28:27.281</v>
      </c>
      <c r="T1242" t="str">
        <f>"20:28:26.581"</f>
        <v>20:28:26.581</v>
      </c>
      <c r="U1242" t="str">
        <f t="shared" si="138"/>
        <v>AA0632</v>
      </c>
      <c r="V1242">
        <v>0</v>
      </c>
      <c r="W1242">
        <v>0</v>
      </c>
      <c r="X1242">
        <v>2</v>
      </c>
      <c r="Y1242">
        <v>0</v>
      </c>
      <c r="AA1242">
        <v>0</v>
      </c>
      <c r="AB1242">
        <v>9</v>
      </c>
      <c r="AC1242">
        <v>3</v>
      </c>
      <c r="AD1242">
        <v>0</v>
      </c>
      <c r="AE1242">
        <v>10</v>
      </c>
      <c r="AF1242" t="s">
        <v>126</v>
      </c>
      <c r="AG1242">
        <v>0</v>
      </c>
      <c r="AH1242">
        <v>0</v>
      </c>
      <c r="AI1242">
        <v>2</v>
      </c>
      <c r="AJ1242">
        <v>0</v>
      </c>
      <c r="AK1242" t="s">
        <v>500</v>
      </c>
      <c r="AL1242">
        <v>31.923480000000001</v>
      </c>
      <c r="AM1242" t="s">
        <v>631</v>
      </c>
      <c r="AN1242">
        <v>-100.969291</v>
      </c>
      <c r="AQ1242" t="s">
        <v>129</v>
      </c>
      <c r="AR1242">
        <v>0</v>
      </c>
      <c r="AS1242">
        <v>1</v>
      </c>
      <c r="AT1242">
        <v>-64</v>
      </c>
      <c r="BB1242" t="str">
        <f t="shared" si="139"/>
        <v>1200</v>
      </c>
      <c r="BC1242">
        <v>1</v>
      </c>
      <c r="BD1242" t="str">
        <f t="shared" si="141"/>
        <v xml:space="preserve">N745MB  </v>
      </c>
      <c r="BE1242">
        <v>1</v>
      </c>
      <c r="BG1242">
        <v>0</v>
      </c>
      <c r="BH1242">
        <v>0</v>
      </c>
      <c r="BI1242">
        <v>0</v>
      </c>
      <c r="BL1242" t="s">
        <v>130</v>
      </c>
      <c r="BM1242">
        <v>1</v>
      </c>
      <c r="BN1242">
        <v>0</v>
      </c>
      <c r="BO1242">
        <v>0</v>
      </c>
      <c r="BP1242">
        <v>0</v>
      </c>
      <c r="BT1242">
        <v>0</v>
      </c>
      <c r="BU1242">
        <v>0</v>
      </c>
      <c r="CE1242" t="str">
        <f>"20:28:27.284"</f>
        <v>20:28:27.284</v>
      </c>
      <c r="CF1242">
        <v>284362808</v>
      </c>
      <c r="CS1242">
        <v>0</v>
      </c>
      <c r="CT1242">
        <v>2</v>
      </c>
      <c r="CU1242">
        <v>0</v>
      </c>
      <c r="CV1242">
        <v>2</v>
      </c>
      <c r="CW1242">
        <v>0</v>
      </c>
      <c r="CX1242">
        <v>3</v>
      </c>
      <c r="CY1242">
        <v>7</v>
      </c>
      <c r="CZ1242" t="s">
        <v>131</v>
      </c>
      <c r="DA1242">
        <v>116</v>
      </c>
      <c r="DB1242">
        <v>3</v>
      </c>
      <c r="DC1242" t="s">
        <v>132</v>
      </c>
      <c r="DD1242" t="s">
        <v>133</v>
      </c>
      <c r="DG1242">
        <v>8490116</v>
      </c>
      <c r="DI1242">
        <v>0</v>
      </c>
      <c r="DJ1242">
        <v>1</v>
      </c>
      <c r="DK1242">
        <v>1</v>
      </c>
      <c r="DL1242">
        <v>0</v>
      </c>
      <c r="DM1242">
        <v>0</v>
      </c>
      <c r="DN1242">
        <v>0</v>
      </c>
      <c r="DO1242">
        <v>0</v>
      </c>
      <c r="DP1242">
        <v>1</v>
      </c>
      <c r="DQ1242">
        <v>0</v>
      </c>
      <c r="DR1242">
        <v>0</v>
      </c>
      <c r="DS1242">
        <v>1</v>
      </c>
    </row>
    <row r="1243" spans="1:123" x14ac:dyDescent="0.25">
      <c r="A1243" t="str">
        <f>"11/29/2023 20:28:27.603"</f>
        <v>11/29/2023 20:28:27.603</v>
      </c>
      <c r="C1243" t="str">
        <f t="shared" si="140"/>
        <v>FFDF53C0</v>
      </c>
      <c r="D1243" t="s">
        <v>138</v>
      </c>
      <c r="E1243">
        <v>3</v>
      </c>
      <c r="H1243">
        <v>160</v>
      </c>
      <c r="I1243" t="s">
        <v>124</v>
      </c>
      <c r="J1243" t="s">
        <v>139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>"20:28:27.281"</f>
        <v>20:28:27.281</v>
      </c>
      <c r="T1243" t="str">
        <f>"20:28:26.581"</f>
        <v>20:28:26.581</v>
      </c>
      <c r="U1243" t="str">
        <f t="shared" si="138"/>
        <v>AA0632</v>
      </c>
      <c r="V1243">
        <v>0</v>
      </c>
      <c r="W1243">
        <v>0</v>
      </c>
      <c r="X1243">
        <v>2</v>
      </c>
      <c r="Y1243">
        <v>0</v>
      </c>
      <c r="AA1243">
        <v>0</v>
      </c>
      <c r="AB1243">
        <v>9</v>
      </c>
      <c r="AC1243">
        <v>3</v>
      </c>
      <c r="AD1243">
        <v>0</v>
      </c>
      <c r="AE1243">
        <v>10</v>
      </c>
      <c r="AF1243" t="s">
        <v>126</v>
      </c>
      <c r="AG1243">
        <v>0</v>
      </c>
      <c r="AH1243">
        <v>0</v>
      </c>
      <c r="AI1243">
        <v>2</v>
      </c>
      <c r="AJ1243">
        <v>0</v>
      </c>
      <c r="AK1243" t="s">
        <v>500</v>
      </c>
      <c r="AL1243">
        <v>31.923480000000001</v>
      </c>
      <c r="AM1243" t="s">
        <v>631</v>
      </c>
      <c r="AN1243">
        <v>-100.969291</v>
      </c>
      <c r="AQ1243" t="s">
        <v>129</v>
      </c>
      <c r="AR1243">
        <v>0</v>
      </c>
      <c r="AS1243">
        <v>1</v>
      </c>
      <c r="AT1243">
        <v>-64</v>
      </c>
      <c r="BB1243" t="str">
        <f t="shared" si="139"/>
        <v>1200</v>
      </c>
      <c r="BC1243">
        <v>1</v>
      </c>
      <c r="BD1243" t="str">
        <f t="shared" si="141"/>
        <v xml:space="preserve">N745MB  </v>
      </c>
      <c r="BE1243">
        <v>1</v>
      </c>
      <c r="BG1243">
        <v>0</v>
      </c>
      <c r="BH1243">
        <v>0</v>
      </c>
      <c r="BI1243">
        <v>0</v>
      </c>
      <c r="BL1243" t="s">
        <v>130</v>
      </c>
      <c r="BM1243">
        <v>1</v>
      </c>
      <c r="BN1243">
        <v>0</v>
      </c>
      <c r="BO1243">
        <v>0</v>
      </c>
      <c r="BP1243">
        <v>0</v>
      </c>
      <c r="BT1243">
        <v>0</v>
      </c>
      <c r="BU1243">
        <v>0</v>
      </c>
      <c r="CE1243" t="str">
        <f>"20:28:27.284"</f>
        <v>20:28:27.284</v>
      </c>
      <c r="CF1243">
        <v>284362808</v>
      </c>
      <c r="CS1243">
        <v>0</v>
      </c>
      <c r="CT1243">
        <v>2</v>
      </c>
      <c r="CU1243">
        <v>0</v>
      </c>
      <c r="CV1243">
        <v>2</v>
      </c>
      <c r="CW1243">
        <v>0</v>
      </c>
      <c r="CX1243">
        <v>3</v>
      </c>
      <c r="CY1243">
        <v>7</v>
      </c>
      <c r="CZ1243" t="s">
        <v>131</v>
      </c>
      <c r="DA1243">
        <v>116</v>
      </c>
      <c r="DB1243">
        <v>3</v>
      </c>
      <c r="DC1243" t="s">
        <v>132</v>
      </c>
      <c r="DD1243" t="s">
        <v>133</v>
      </c>
      <c r="DG1243">
        <v>8490116</v>
      </c>
      <c r="DI1243">
        <v>0</v>
      </c>
      <c r="DJ1243">
        <v>1</v>
      </c>
      <c r="DK1243">
        <v>1</v>
      </c>
      <c r="DL1243">
        <v>0</v>
      </c>
      <c r="DM1243">
        <v>0</v>
      </c>
      <c r="DN1243">
        <v>0</v>
      </c>
      <c r="DO1243">
        <v>0</v>
      </c>
      <c r="DP1243">
        <v>1</v>
      </c>
      <c r="DQ1243">
        <v>0</v>
      </c>
      <c r="DR1243">
        <v>0</v>
      </c>
      <c r="DS1243">
        <v>1</v>
      </c>
    </row>
    <row r="1244" spans="1:123" x14ac:dyDescent="0.25">
      <c r="A1244" t="str">
        <f>"11/29/2023 20:28:27.603"</f>
        <v>11/29/2023 20:28:27.603</v>
      </c>
      <c r="C1244" t="str">
        <f t="shared" si="140"/>
        <v>FFDF53C0</v>
      </c>
      <c r="D1244" t="s">
        <v>123</v>
      </c>
      <c r="E1244">
        <v>1</v>
      </c>
      <c r="F1244">
        <v>1001</v>
      </c>
      <c r="G1244" t="s">
        <v>134</v>
      </c>
      <c r="J1244" t="s">
        <v>125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>"20:28:27.281"</f>
        <v>20:28:27.281</v>
      </c>
      <c r="T1244" t="str">
        <f>"20:28:26.581"</f>
        <v>20:28:26.581</v>
      </c>
      <c r="U1244" t="str">
        <f t="shared" si="138"/>
        <v>AA0632</v>
      </c>
      <c r="V1244">
        <v>0</v>
      </c>
      <c r="W1244">
        <v>0</v>
      </c>
      <c r="X1244">
        <v>2</v>
      </c>
      <c r="Y1244">
        <v>0</v>
      </c>
      <c r="AA1244">
        <v>0</v>
      </c>
      <c r="AB1244">
        <v>9</v>
      </c>
      <c r="AC1244">
        <v>3</v>
      </c>
      <c r="AD1244">
        <v>0</v>
      </c>
      <c r="AE1244">
        <v>10</v>
      </c>
      <c r="AF1244" t="s">
        <v>126</v>
      </c>
      <c r="AG1244">
        <v>0</v>
      </c>
      <c r="AH1244">
        <v>0</v>
      </c>
      <c r="AI1244">
        <v>2</v>
      </c>
      <c r="AJ1244">
        <v>0</v>
      </c>
      <c r="AK1244" t="s">
        <v>500</v>
      </c>
      <c r="AL1244">
        <v>31.923480000000001</v>
      </c>
      <c r="AM1244" t="s">
        <v>631</v>
      </c>
      <c r="AN1244">
        <v>-100.969291</v>
      </c>
      <c r="AQ1244" t="s">
        <v>129</v>
      </c>
      <c r="AR1244">
        <v>0</v>
      </c>
      <c r="AS1244">
        <v>1</v>
      </c>
      <c r="AT1244">
        <v>-64</v>
      </c>
      <c r="BB1244" t="str">
        <f t="shared" si="139"/>
        <v>1200</v>
      </c>
      <c r="BC1244">
        <v>1</v>
      </c>
      <c r="BD1244" t="str">
        <f t="shared" si="141"/>
        <v xml:space="preserve">N745MB  </v>
      </c>
      <c r="BE1244">
        <v>1</v>
      </c>
      <c r="BG1244">
        <v>0</v>
      </c>
      <c r="BH1244">
        <v>0</v>
      </c>
      <c r="BI1244">
        <v>0</v>
      </c>
      <c r="BL1244" t="s">
        <v>130</v>
      </c>
      <c r="BM1244">
        <v>1</v>
      </c>
      <c r="BN1244">
        <v>0</v>
      </c>
      <c r="BO1244">
        <v>0</v>
      </c>
      <c r="BP1244">
        <v>0</v>
      </c>
      <c r="BT1244">
        <v>0</v>
      </c>
      <c r="BU1244">
        <v>0</v>
      </c>
      <c r="CE1244" t="str">
        <f>"20:28:27.284"</f>
        <v>20:28:27.284</v>
      </c>
      <c r="CF1244">
        <v>284362808</v>
      </c>
      <c r="CS1244">
        <v>0</v>
      </c>
      <c r="CT1244">
        <v>2</v>
      </c>
      <c r="CU1244">
        <v>0</v>
      </c>
      <c r="CV1244">
        <v>2</v>
      </c>
      <c r="CW1244">
        <v>0</v>
      </c>
      <c r="CX1244">
        <v>3</v>
      </c>
      <c r="CY1244">
        <v>7</v>
      </c>
      <c r="CZ1244" t="s">
        <v>131</v>
      </c>
      <c r="DA1244">
        <v>116</v>
      </c>
      <c r="DB1244">
        <v>3</v>
      </c>
      <c r="DC1244" t="s">
        <v>132</v>
      </c>
      <c r="DD1244" t="s">
        <v>133</v>
      </c>
      <c r="DG1244">
        <v>8490116</v>
      </c>
      <c r="DI1244">
        <v>0</v>
      </c>
      <c r="DJ1244">
        <v>1</v>
      </c>
      <c r="DK1244">
        <v>1</v>
      </c>
      <c r="DL1244">
        <v>0</v>
      </c>
      <c r="DM1244">
        <v>0</v>
      </c>
      <c r="DN1244">
        <v>0</v>
      </c>
      <c r="DO1244">
        <v>0</v>
      </c>
      <c r="DP1244">
        <v>1</v>
      </c>
      <c r="DQ1244">
        <v>0</v>
      </c>
      <c r="DR1244">
        <v>0</v>
      </c>
      <c r="DS1244">
        <v>1</v>
      </c>
    </row>
    <row r="1245" spans="1:123" x14ac:dyDescent="0.25">
      <c r="A1245" t="str">
        <f>"11/29/2023 20:28:28.821"</f>
        <v>11/29/2023 20:28:28.821</v>
      </c>
      <c r="C1245" t="str">
        <f t="shared" si="140"/>
        <v>FFDF53C0</v>
      </c>
      <c r="D1245" t="s">
        <v>123</v>
      </c>
      <c r="E1245">
        <v>1</v>
      </c>
      <c r="F1245">
        <v>1001</v>
      </c>
      <c r="G1245" t="s">
        <v>134</v>
      </c>
      <c r="J1245" t="s">
        <v>125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>"20:28:28.438"</f>
        <v>20:28:28.438</v>
      </c>
      <c r="T1245" t="str">
        <f>"20:28:27.637"</f>
        <v>20:28:27.637</v>
      </c>
      <c r="U1245" t="str">
        <f t="shared" si="138"/>
        <v>AA0632</v>
      </c>
      <c r="V1245">
        <v>0</v>
      </c>
      <c r="W1245">
        <v>0</v>
      </c>
      <c r="X1245">
        <v>2</v>
      </c>
      <c r="Y1245">
        <v>0</v>
      </c>
      <c r="AA1245">
        <v>0</v>
      </c>
      <c r="AB1245">
        <v>9</v>
      </c>
      <c r="AC1245">
        <v>3</v>
      </c>
      <c r="AD1245">
        <v>0</v>
      </c>
      <c r="AE1245">
        <v>10</v>
      </c>
      <c r="AF1245" t="s">
        <v>126</v>
      </c>
      <c r="AG1245">
        <v>0</v>
      </c>
      <c r="AH1245">
        <v>0</v>
      </c>
      <c r="AI1245">
        <v>2</v>
      </c>
      <c r="AJ1245">
        <v>0</v>
      </c>
      <c r="AK1245" t="s">
        <v>500</v>
      </c>
      <c r="AL1245">
        <v>31.923480000000001</v>
      </c>
      <c r="AM1245" t="s">
        <v>631</v>
      </c>
      <c r="AN1245">
        <v>-100.969291</v>
      </c>
      <c r="AQ1245" t="s">
        <v>129</v>
      </c>
      <c r="AR1245">
        <v>0</v>
      </c>
      <c r="AS1245">
        <v>0</v>
      </c>
      <c r="AT1245">
        <v>-64</v>
      </c>
      <c r="BB1245" t="str">
        <f t="shared" si="139"/>
        <v>1200</v>
      </c>
      <c r="BC1245">
        <v>1</v>
      </c>
      <c r="BD1245" t="str">
        <f t="shared" si="141"/>
        <v xml:space="preserve">N745MB  </v>
      </c>
      <c r="BE1245">
        <v>1</v>
      </c>
      <c r="BG1245">
        <v>0</v>
      </c>
      <c r="BH1245">
        <v>0</v>
      </c>
      <c r="BI1245">
        <v>0</v>
      </c>
      <c r="BL1245" t="s">
        <v>130</v>
      </c>
      <c r="BM1245">
        <v>1</v>
      </c>
      <c r="BN1245">
        <v>0</v>
      </c>
      <c r="BO1245">
        <v>0</v>
      </c>
      <c r="BP1245">
        <v>0</v>
      </c>
      <c r="BT1245">
        <v>0</v>
      </c>
      <c r="BU1245">
        <v>0</v>
      </c>
      <c r="CE1245" t="str">
        <f>"20:28:28.438"</f>
        <v>20:28:28.438</v>
      </c>
      <c r="CF1245">
        <v>438280826</v>
      </c>
      <c r="CS1245">
        <v>0</v>
      </c>
      <c r="CT1245">
        <v>2</v>
      </c>
      <c r="CU1245">
        <v>0</v>
      </c>
      <c r="CV1245">
        <v>2</v>
      </c>
      <c r="CW1245">
        <v>0</v>
      </c>
      <c r="CX1245">
        <v>3</v>
      </c>
      <c r="CY1245">
        <v>7</v>
      </c>
      <c r="CZ1245" t="s">
        <v>131</v>
      </c>
      <c r="DA1245">
        <v>116</v>
      </c>
      <c r="DB1245">
        <v>0</v>
      </c>
      <c r="DC1245" t="s">
        <v>132</v>
      </c>
      <c r="DD1245" t="s">
        <v>133</v>
      </c>
      <c r="DG1245">
        <v>14794193</v>
      </c>
      <c r="DI1245">
        <v>0</v>
      </c>
      <c r="DJ1245">
        <v>1</v>
      </c>
      <c r="DK1245">
        <v>0</v>
      </c>
      <c r="DL1245">
        <v>0</v>
      </c>
      <c r="DM1245">
        <v>0</v>
      </c>
      <c r="DN1245">
        <v>0</v>
      </c>
      <c r="DO1245">
        <v>0</v>
      </c>
      <c r="DP1245">
        <v>1</v>
      </c>
      <c r="DQ1245">
        <v>0</v>
      </c>
      <c r="DR1245">
        <v>0</v>
      </c>
      <c r="DS1245">
        <v>1</v>
      </c>
    </row>
    <row r="1246" spans="1:123" x14ac:dyDescent="0.25">
      <c r="A1246" t="str">
        <f>"11/29/2023 20:28:28.837"</f>
        <v>11/29/2023 20:28:28.837</v>
      </c>
      <c r="C1246" t="str">
        <f t="shared" si="140"/>
        <v>FFDF53C0</v>
      </c>
      <c r="D1246" t="s">
        <v>123</v>
      </c>
      <c r="E1246">
        <v>14</v>
      </c>
      <c r="F1246">
        <v>1014</v>
      </c>
      <c r="G1246" t="s">
        <v>124</v>
      </c>
      <c r="J1246" t="s">
        <v>125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>"20:28:28.438"</f>
        <v>20:28:28.438</v>
      </c>
      <c r="T1246" t="str">
        <f>"20:28:27.637"</f>
        <v>20:28:27.637</v>
      </c>
      <c r="U1246" t="str">
        <f t="shared" si="138"/>
        <v>AA0632</v>
      </c>
      <c r="V1246">
        <v>0</v>
      </c>
      <c r="W1246">
        <v>0</v>
      </c>
      <c r="X1246">
        <v>2</v>
      </c>
      <c r="Y1246">
        <v>0</v>
      </c>
      <c r="AA1246">
        <v>0</v>
      </c>
      <c r="AB1246">
        <v>9</v>
      </c>
      <c r="AC1246">
        <v>3</v>
      </c>
      <c r="AD1246">
        <v>0</v>
      </c>
      <c r="AE1246">
        <v>10</v>
      </c>
      <c r="AF1246" t="s">
        <v>126</v>
      </c>
      <c r="AG1246">
        <v>0</v>
      </c>
      <c r="AH1246">
        <v>0</v>
      </c>
      <c r="AI1246">
        <v>2</v>
      </c>
      <c r="AJ1246">
        <v>0</v>
      </c>
      <c r="AK1246" t="s">
        <v>500</v>
      </c>
      <c r="AL1246">
        <v>31.923480000000001</v>
      </c>
      <c r="AM1246" t="s">
        <v>631</v>
      </c>
      <c r="AN1246">
        <v>-100.969291</v>
      </c>
      <c r="AQ1246" t="s">
        <v>129</v>
      </c>
      <c r="AR1246">
        <v>0</v>
      </c>
      <c r="AS1246">
        <v>0</v>
      </c>
      <c r="AT1246">
        <v>-64</v>
      </c>
      <c r="BB1246" t="str">
        <f t="shared" si="139"/>
        <v>1200</v>
      </c>
      <c r="BC1246">
        <v>1</v>
      </c>
      <c r="BD1246" t="str">
        <f t="shared" si="141"/>
        <v xml:space="preserve">N745MB  </v>
      </c>
      <c r="BE1246">
        <v>1</v>
      </c>
      <c r="BG1246">
        <v>0</v>
      </c>
      <c r="BH1246">
        <v>0</v>
      </c>
      <c r="BI1246">
        <v>0</v>
      </c>
      <c r="BL1246" t="s">
        <v>130</v>
      </c>
      <c r="BM1246">
        <v>1</v>
      </c>
      <c r="BN1246">
        <v>0</v>
      </c>
      <c r="BO1246">
        <v>0</v>
      </c>
      <c r="BP1246">
        <v>0</v>
      </c>
      <c r="BT1246">
        <v>0</v>
      </c>
      <c r="BU1246">
        <v>0</v>
      </c>
      <c r="CE1246" t="str">
        <f>"20:28:28.438"</f>
        <v>20:28:28.438</v>
      </c>
      <c r="CF1246">
        <v>438280826</v>
      </c>
      <c r="CS1246">
        <v>0</v>
      </c>
      <c r="CT1246">
        <v>2</v>
      </c>
      <c r="CU1246">
        <v>0</v>
      </c>
      <c r="CV1246">
        <v>2</v>
      </c>
      <c r="CW1246">
        <v>0</v>
      </c>
      <c r="CX1246">
        <v>3</v>
      </c>
      <c r="CY1246">
        <v>7</v>
      </c>
      <c r="CZ1246" t="s">
        <v>131</v>
      </c>
      <c r="DA1246">
        <v>116</v>
      </c>
      <c r="DB1246">
        <v>0</v>
      </c>
      <c r="DC1246" t="s">
        <v>132</v>
      </c>
      <c r="DD1246" t="s">
        <v>133</v>
      </c>
      <c r="DG1246">
        <v>14794193</v>
      </c>
      <c r="DI1246">
        <v>0</v>
      </c>
      <c r="DJ1246">
        <v>1</v>
      </c>
      <c r="DK1246">
        <v>0</v>
      </c>
      <c r="DL1246">
        <v>0</v>
      </c>
      <c r="DM1246">
        <v>0</v>
      </c>
      <c r="DN1246">
        <v>0</v>
      </c>
      <c r="DO1246">
        <v>0</v>
      </c>
      <c r="DP1246">
        <v>1</v>
      </c>
      <c r="DQ1246">
        <v>0</v>
      </c>
      <c r="DR1246">
        <v>0</v>
      </c>
      <c r="DS1246">
        <v>1</v>
      </c>
    </row>
    <row r="1247" spans="1:123" x14ac:dyDescent="0.25">
      <c r="A1247" t="str">
        <f>"11/29/2023 20:28:28.837"</f>
        <v>11/29/2023 20:28:28.837</v>
      </c>
      <c r="C1247" t="str">
        <f t="shared" si="140"/>
        <v>FFDF53C0</v>
      </c>
      <c r="D1247" t="s">
        <v>135</v>
      </c>
      <c r="E1247">
        <v>31</v>
      </c>
      <c r="H1247">
        <v>285</v>
      </c>
      <c r="I1247" t="s">
        <v>136</v>
      </c>
      <c r="J1247" t="s">
        <v>137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>"20:28:28.438"</f>
        <v>20:28:28.438</v>
      </c>
      <c r="T1247" t="str">
        <f>"20:28:27.637"</f>
        <v>20:28:27.637</v>
      </c>
      <c r="U1247" t="str">
        <f t="shared" si="138"/>
        <v>AA0632</v>
      </c>
      <c r="V1247">
        <v>0</v>
      </c>
      <c r="W1247">
        <v>0</v>
      </c>
      <c r="X1247">
        <v>2</v>
      </c>
      <c r="Y1247">
        <v>0</v>
      </c>
      <c r="AA1247">
        <v>0</v>
      </c>
      <c r="AB1247">
        <v>9</v>
      </c>
      <c r="AC1247">
        <v>3</v>
      </c>
      <c r="AD1247">
        <v>0</v>
      </c>
      <c r="AE1247">
        <v>10</v>
      </c>
      <c r="AF1247" t="s">
        <v>126</v>
      </c>
      <c r="AG1247">
        <v>0</v>
      </c>
      <c r="AH1247">
        <v>0</v>
      </c>
      <c r="AI1247">
        <v>2</v>
      </c>
      <c r="AJ1247">
        <v>0</v>
      </c>
      <c r="AK1247" t="s">
        <v>500</v>
      </c>
      <c r="AL1247">
        <v>31.923480000000001</v>
      </c>
      <c r="AM1247" t="s">
        <v>631</v>
      </c>
      <c r="AN1247">
        <v>-100.969291</v>
      </c>
      <c r="AQ1247" t="s">
        <v>129</v>
      </c>
      <c r="AR1247">
        <v>0</v>
      </c>
      <c r="AS1247">
        <v>0</v>
      </c>
      <c r="AT1247">
        <v>-64</v>
      </c>
      <c r="BB1247" t="str">
        <f t="shared" si="139"/>
        <v>1200</v>
      </c>
      <c r="BC1247">
        <v>1</v>
      </c>
      <c r="BD1247" t="str">
        <f t="shared" si="141"/>
        <v xml:space="preserve">N745MB  </v>
      </c>
      <c r="BE1247">
        <v>1</v>
      </c>
      <c r="BG1247">
        <v>0</v>
      </c>
      <c r="BH1247">
        <v>0</v>
      </c>
      <c r="BI1247">
        <v>0</v>
      </c>
      <c r="BL1247" t="s">
        <v>130</v>
      </c>
      <c r="BM1247">
        <v>1</v>
      </c>
      <c r="BN1247">
        <v>0</v>
      </c>
      <c r="BO1247">
        <v>0</v>
      </c>
      <c r="BP1247">
        <v>0</v>
      </c>
      <c r="BT1247">
        <v>0</v>
      </c>
      <c r="BU1247">
        <v>0</v>
      </c>
      <c r="CE1247" t="str">
        <f>"20:28:28.438"</f>
        <v>20:28:28.438</v>
      </c>
      <c r="CF1247">
        <v>438280826</v>
      </c>
      <c r="CS1247">
        <v>0</v>
      </c>
      <c r="CT1247">
        <v>2</v>
      </c>
      <c r="CU1247">
        <v>0</v>
      </c>
      <c r="CV1247">
        <v>2</v>
      </c>
      <c r="CW1247">
        <v>0</v>
      </c>
      <c r="CX1247">
        <v>3</v>
      </c>
      <c r="CY1247">
        <v>7</v>
      </c>
      <c r="CZ1247" t="s">
        <v>131</v>
      </c>
      <c r="DA1247">
        <v>116</v>
      </c>
      <c r="DB1247">
        <v>0</v>
      </c>
      <c r="DC1247" t="s">
        <v>132</v>
      </c>
      <c r="DD1247" t="s">
        <v>133</v>
      </c>
      <c r="DG1247">
        <v>14794193</v>
      </c>
      <c r="DI1247">
        <v>0</v>
      </c>
      <c r="DJ1247">
        <v>1</v>
      </c>
      <c r="DK1247">
        <v>1</v>
      </c>
      <c r="DL1247">
        <v>0</v>
      </c>
      <c r="DM1247">
        <v>0</v>
      </c>
      <c r="DN1247">
        <v>0</v>
      </c>
      <c r="DO1247">
        <v>0</v>
      </c>
      <c r="DP1247">
        <v>1</v>
      </c>
      <c r="DQ1247">
        <v>0</v>
      </c>
      <c r="DR1247">
        <v>0</v>
      </c>
      <c r="DS1247">
        <v>1</v>
      </c>
    </row>
    <row r="1248" spans="1:123" x14ac:dyDescent="0.25">
      <c r="A1248" t="str">
        <f>"11/29/2023 20:28:28.837"</f>
        <v>11/29/2023 20:28:28.837</v>
      </c>
      <c r="C1248" t="str">
        <f t="shared" si="140"/>
        <v>FFDF53C0</v>
      </c>
      <c r="D1248" t="s">
        <v>138</v>
      </c>
      <c r="E1248">
        <v>3</v>
      </c>
      <c r="H1248">
        <v>160</v>
      </c>
      <c r="I1248" t="s">
        <v>124</v>
      </c>
      <c r="J1248" t="s">
        <v>139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>"20:28:28.438"</f>
        <v>20:28:28.438</v>
      </c>
      <c r="T1248" t="str">
        <f>"20:28:27.637"</f>
        <v>20:28:27.637</v>
      </c>
      <c r="U1248" t="str">
        <f t="shared" si="138"/>
        <v>AA0632</v>
      </c>
      <c r="V1248">
        <v>0</v>
      </c>
      <c r="W1248">
        <v>0</v>
      </c>
      <c r="X1248">
        <v>2</v>
      </c>
      <c r="Y1248">
        <v>0</v>
      </c>
      <c r="AA1248">
        <v>0</v>
      </c>
      <c r="AB1248">
        <v>9</v>
      </c>
      <c r="AC1248">
        <v>3</v>
      </c>
      <c r="AD1248">
        <v>0</v>
      </c>
      <c r="AE1248">
        <v>10</v>
      </c>
      <c r="AF1248" t="s">
        <v>126</v>
      </c>
      <c r="AG1248">
        <v>0</v>
      </c>
      <c r="AH1248">
        <v>0</v>
      </c>
      <c r="AI1248">
        <v>2</v>
      </c>
      <c r="AJ1248">
        <v>0</v>
      </c>
      <c r="AK1248" t="s">
        <v>500</v>
      </c>
      <c r="AL1248">
        <v>31.923480000000001</v>
      </c>
      <c r="AM1248" t="s">
        <v>631</v>
      </c>
      <c r="AN1248">
        <v>-100.969291</v>
      </c>
      <c r="AQ1248" t="s">
        <v>129</v>
      </c>
      <c r="AR1248">
        <v>0</v>
      </c>
      <c r="AS1248">
        <v>0</v>
      </c>
      <c r="AT1248">
        <v>-64</v>
      </c>
      <c r="BB1248" t="str">
        <f t="shared" si="139"/>
        <v>1200</v>
      </c>
      <c r="BC1248">
        <v>1</v>
      </c>
      <c r="BD1248" t="str">
        <f t="shared" si="141"/>
        <v xml:space="preserve">N745MB  </v>
      </c>
      <c r="BE1248">
        <v>1</v>
      </c>
      <c r="BG1248">
        <v>0</v>
      </c>
      <c r="BH1248">
        <v>0</v>
      </c>
      <c r="BI1248">
        <v>0</v>
      </c>
      <c r="BL1248" t="s">
        <v>130</v>
      </c>
      <c r="BM1248">
        <v>1</v>
      </c>
      <c r="BN1248">
        <v>0</v>
      </c>
      <c r="BO1248">
        <v>0</v>
      </c>
      <c r="BP1248">
        <v>0</v>
      </c>
      <c r="BT1248">
        <v>0</v>
      </c>
      <c r="BU1248">
        <v>0</v>
      </c>
      <c r="CE1248" t="str">
        <f>"20:28:28.438"</f>
        <v>20:28:28.438</v>
      </c>
      <c r="CF1248">
        <v>438280826</v>
      </c>
      <c r="CS1248">
        <v>0</v>
      </c>
      <c r="CT1248">
        <v>2</v>
      </c>
      <c r="CU1248">
        <v>0</v>
      </c>
      <c r="CV1248">
        <v>2</v>
      </c>
      <c r="CW1248">
        <v>0</v>
      </c>
      <c r="CX1248">
        <v>3</v>
      </c>
      <c r="CY1248">
        <v>7</v>
      </c>
      <c r="CZ1248" t="s">
        <v>131</v>
      </c>
      <c r="DA1248">
        <v>116</v>
      </c>
      <c r="DB1248">
        <v>0</v>
      </c>
      <c r="DC1248" t="s">
        <v>132</v>
      </c>
      <c r="DD1248" t="s">
        <v>133</v>
      </c>
      <c r="DG1248">
        <v>14794193</v>
      </c>
      <c r="DI1248">
        <v>0</v>
      </c>
      <c r="DJ1248">
        <v>1</v>
      </c>
      <c r="DK1248">
        <v>1</v>
      </c>
      <c r="DL1248">
        <v>0</v>
      </c>
      <c r="DM1248">
        <v>0</v>
      </c>
      <c r="DN1248">
        <v>0</v>
      </c>
      <c r="DO1248">
        <v>0</v>
      </c>
      <c r="DP1248">
        <v>1</v>
      </c>
      <c r="DQ1248">
        <v>0</v>
      </c>
      <c r="DR1248">
        <v>0</v>
      </c>
      <c r="DS1248">
        <v>1</v>
      </c>
    </row>
    <row r="1249" spans="1:123" x14ac:dyDescent="0.25">
      <c r="A1249" t="str">
        <f>"11/29/2023 20:28:30.931"</f>
        <v>11/29/2023 20:28:30.931</v>
      </c>
      <c r="C1249" t="str">
        <f t="shared" si="140"/>
        <v>FFDF53C0</v>
      </c>
      <c r="D1249" t="s">
        <v>123</v>
      </c>
      <c r="E1249">
        <v>14</v>
      </c>
      <c r="F1249">
        <v>1014</v>
      </c>
      <c r="G1249" t="s">
        <v>124</v>
      </c>
      <c r="J1249" t="s">
        <v>125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>"20:28:30.531"</f>
        <v>20:28:30.531</v>
      </c>
      <c r="T1249" t="str">
        <f>"20:28:30.131"</f>
        <v>20:28:30.131</v>
      </c>
      <c r="U1249" t="str">
        <f t="shared" si="138"/>
        <v>AA0632</v>
      </c>
      <c r="V1249">
        <v>0</v>
      </c>
      <c r="W1249">
        <v>0</v>
      </c>
      <c r="X1249">
        <v>2</v>
      </c>
      <c r="Y1249">
        <v>0</v>
      </c>
      <c r="AA1249">
        <v>0</v>
      </c>
      <c r="AB1249">
        <v>9</v>
      </c>
      <c r="AC1249">
        <v>3</v>
      </c>
      <c r="AD1249">
        <v>0</v>
      </c>
      <c r="AE1249">
        <v>10</v>
      </c>
      <c r="AF1249" t="s">
        <v>126</v>
      </c>
      <c r="AG1249">
        <v>0</v>
      </c>
      <c r="AH1249">
        <v>0</v>
      </c>
      <c r="AI1249">
        <v>2</v>
      </c>
      <c r="AJ1249">
        <v>0</v>
      </c>
      <c r="AK1249" t="s">
        <v>500</v>
      </c>
      <c r="AL1249">
        <v>31.923480000000001</v>
      </c>
      <c r="AM1249" t="s">
        <v>631</v>
      </c>
      <c r="AN1249">
        <v>-100.969291</v>
      </c>
      <c r="AQ1249" t="s">
        <v>129</v>
      </c>
      <c r="AR1249">
        <v>0</v>
      </c>
      <c r="AS1249">
        <v>0</v>
      </c>
      <c r="AT1249">
        <v>0</v>
      </c>
      <c r="BB1249" t="str">
        <f t="shared" si="139"/>
        <v>1200</v>
      </c>
      <c r="BC1249">
        <v>1</v>
      </c>
      <c r="BD1249" t="str">
        <f t="shared" si="141"/>
        <v xml:space="preserve">N745MB  </v>
      </c>
      <c r="BE1249">
        <v>1</v>
      </c>
      <c r="BG1249">
        <v>0</v>
      </c>
      <c r="BH1249">
        <v>0</v>
      </c>
      <c r="BI1249">
        <v>0</v>
      </c>
      <c r="BL1249" t="s">
        <v>130</v>
      </c>
      <c r="BM1249">
        <v>1</v>
      </c>
      <c r="BN1249">
        <v>0</v>
      </c>
      <c r="BO1249">
        <v>0</v>
      </c>
      <c r="BP1249">
        <v>0</v>
      </c>
      <c r="BT1249">
        <v>0</v>
      </c>
      <c r="BU1249">
        <v>0</v>
      </c>
      <c r="CE1249" t="str">
        <f>"20:28:30.532"</f>
        <v>20:28:30.532</v>
      </c>
      <c r="CF1249">
        <v>532142824</v>
      </c>
      <c r="CS1249">
        <v>0</v>
      </c>
      <c r="CT1249">
        <v>2</v>
      </c>
      <c r="CU1249">
        <v>0</v>
      </c>
      <c r="CV1249">
        <v>2</v>
      </c>
      <c r="CW1249">
        <v>0</v>
      </c>
      <c r="CX1249">
        <v>4</v>
      </c>
      <c r="CY1249">
        <v>7</v>
      </c>
      <c r="CZ1249" t="s">
        <v>131</v>
      </c>
      <c r="DA1249">
        <v>116</v>
      </c>
      <c r="DB1249">
        <v>0</v>
      </c>
      <c r="DC1249" t="s">
        <v>132</v>
      </c>
      <c r="DD1249" t="s">
        <v>133</v>
      </c>
      <c r="DG1249">
        <v>14795978</v>
      </c>
      <c r="DI1249">
        <v>0</v>
      </c>
      <c r="DJ1249">
        <v>1</v>
      </c>
      <c r="DK1249">
        <v>0</v>
      </c>
      <c r="DL1249">
        <v>0</v>
      </c>
      <c r="DM1249">
        <v>0</v>
      </c>
      <c r="DN1249">
        <v>0</v>
      </c>
      <c r="DO1249">
        <v>0</v>
      </c>
      <c r="DP1249">
        <v>1</v>
      </c>
      <c r="DQ1249">
        <v>0</v>
      </c>
      <c r="DR1249">
        <v>0</v>
      </c>
      <c r="DS1249">
        <v>1</v>
      </c>
    </row>
    <row r="1250" spans="1:123" x14ac:dyDescent="0.25">
      <c r="A1250" t="str">
        <f>"11/29/2023 20:28:30.931"</f>
        <v>11/29/2023 20:28:30.931</v>
      </c>
      <c r="C1250" t="str">
        <f t="shared" si="140"/>
        <v>FFDF53C0</v>
      </c>
      <c r="D1250" t="s">
        <v>138</v>
      </c>
      <c r="E1250">
        <v>3</v>
      </c>
      <c r="H1250">
        <v>160</v>
      </c>
      <c r="I1250" t="s">
        <v>124</v>
      </c>
      <c r="J1250" t="s">
        <v>139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>"20:28:30.531"</f>
        <v>20:28:30.531</v>
      </c>
      <c r="T1250" t="str">
        <f>"20:28:30.131"</f>
        <v>20:28:30.131</v>
      </c>
      <c r="U1250" t="str">
        <f t="shared" si="138"/>
        <v>AA0632</v>
      </c>
      <c r="V1250">
        <v>0</v>
      </c>
      <c r="W1250">
        <v>0</v>
      </c>
      <c r="X1250">
        <v>2</v>
      </c>
      <c r="Y1250">
        <v>0</v>
      </c>
      <c r="AA1250">
        <v>0</v>
      </c>
      <c r="AB1250">
        <v>9</v>
      </c>
      <c r="AC1250">
        <v>3</v>
      </c>
      <c r="AD1250">
        <v>0</v>
      </c>
      <c r="AE1250">
        <v>10</v>
      </c>
      <c r="AF1250" t="s">
        <v>126</v>
      </c>
      <c r="AG1250">
        <v>0</v>
      </c>
      <c r="AH1250">
        <v>0</v>
      </c>
      <c r="AI1250">
        <v>2</v>
      </c>
      <c r="AJ1250">
        <v>0</v>
      </c>
      <c r="AK1250" t="s">
        <v>500</v>
      </c>
      <c r="AL1250">
        <v>31.923480000000001</v>
      </c>
      <c r="AM1250" t="s">
        <v>631</v>
      </c>
      <c r="AN1250">
        <v>-100.969291</v>
      </c>
      <c r="AQ1250" t="s">
        <v>129</v>
      </c>
      <c r="AR1250">
        <v>0</v>
      </c>
      <c r="AS1250">
        <v>0</v>
      </c>
      <c r="AT1250">
        <v>0</v>
      </c>
      <c r="BB1250" t="str">
        <f t="shared" si="139"/>
        <v>1200</v>
      </c>
      <c r="BC1250">
        <v>1</v>
      </c>
      <c r="BD1250" t="str">
        <f t="shared" si="141"/>
        <v xml:space="preserve">N745MB  </v>
      </c>
      <c r="BE1250">
        <v>1</v>
      </c>
      <c r="BG1250">
        <v>0</v>
      </c>
      <c r="BH1250">
        <v>0</v>
      </c>
      <c r="BI1250">
        <v>0</v>
      </c>
      <c r="BL1250" t="s">
        <v>130</v>
      </c>
      <c r="BM1250">
        <v>1</v>
      </c>
      <c r="BN1250">
        <v>0</v>
      </c>
      <c r="BO1250">
        <v>0</v>
      </c>
      <c r="BP1250">
        <v>0</v>
      </c>
      <c r="BT1250">
        <v>0</v>
      </c>
      <c r="BU1250">
        <v>0</v>
      </c>
      <c r="CE1250" t="str">
        <f>"20:28:30.532"</f>
        <v>20:28:30.532</v>
      </c>
      <c r="CF1250">
        <v>532142824</v>
      </c>
      <c r="CS1250">
        <v>0</v>
      </c>
      <c r="CT1250">
        <v>2</v>
      </c>
      <c r="CU1250">
        <v>0</v>
      </c>
      <c r="CV1250">
        <v>2</v>
      </c>
      <c r="CW1250">
        <v>0</v>
      </c>
      <c r="CX1250">
        <v>4</v>
      </c>
      <c r="CY1250">
        <v>7</v>
      </c>
      <c r="CZ1250" t="s">
        <v>131</v>
      </c>
      <c r="DA1250">
        <v>116</v>
      </c>
      <c r="DB1250">
        <v>0</v>
      </c>
      <c r="DC1250" t="s">
        <v>132</v>
      </c>
      <c r="DD1250" t="s">
        <v>133</v>
      </c>
      <c r="DG1250">
        <v>14795978</v>
      </c>
      <c r="DI1250">
        <v>0</v>
      </c>
      <c r="DJ1250">
        <v>1</v>
      </c>
      <c r="DK1250">
        <v>1</v>
      </c>
      <c r="DL1250">
        <v>0</v>
      </c>
      <c r="DM1250">
        <v>0</v>
      </c>
      <c r="DN1250">
        <v>0</v>
      </c>
      <c r="DO1250">
        <v>0</v>
      </c>
      <c r="DP1250">
        <v>1</v>
      </c>
      <c r="DQ1250">
        <v>0</v>
      </c>
      <c r="DR1250">
        <v>0</v>
      </c>
      <c r="DS1250">
        <v>1</v>
      </c>
    </row>
    <row r="1251" spans="1:123" x14ac:dyDescent="0.25">
      <c r="A1251" t="str">
        <f>"11/29/2023 20:28:30.931"</f>
        <v>11/29/2023 20:28:30.931</v>
      </c>
      <c r="C1251" t="str">
        <f t="shared" si="140"/>
        <v>FFDF53C0</v>
      </c>
      <c r="D1251" t="s">
        <v>135</v>
      </c>
      <c r="E1251">
        <v>31</v>
      </c>
      <c r="H1251">
        <v>285</v>
      </c>
      <c r="I1251" t="s">
        <v>136</v>
      </c>
      <c r="J1251" t="s">
        <v>137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>"20:28:30.531"</f>
        <v>20:28:30.531</v>
      </c>
      <c r="T1251" t="str">
        <f>"20:28:30.131"</f>
        <v>20:28:30.131</v>
      </c>
      <c r="U1251" t="str">
        <f t="shared" si="138"/>
        <v>AA0632</v>
      </c>
      <c r="V1251">
        <v>0</v>
      </c>
      <c r="W1251">
        <v>0</v>
      </c>
      <c r="X1251">
        <v>2</v>
      </c>
      <c r="Y1251">
        <v>0</v>
      </c>
      <c r="AA1251">
        <v>0</v>
      </c>
      <c r="AB1251">
        <v>9</v>
      </c>
      <c r="AC1251">
        <v>3</v>
      </c>
      <c r="AD1251">
        <v>0</v>
      </c>
      <c r="AE1251">
        <v>10</v>
      </c>
      <c r="AF1251" t="s">
        <v>126</v>
      </c>
      <c r="AG1251">
        <v>0</v>
      </c>
      <c r="AH1251">
        <v>0</v>
      </c>
      <c r="AI1251">
        <v>2</v>
      </c>
      <c r="AJ1251">
        <v>0</v>
      </c>
      <c r="AK1251" t="s">
        <v>500</v>
      </c>
      <c r="AL1251">
        <v>31.923480000000001</v>
      </c>
      <c r="AM1251" t="s">
        <v>631</v>
      </c>
      <c r="AN1251">
        <v>-100.969291</v>
      </c>
      <c r="AQ1251" t="s">
        <v>129</v>
      </c>
      <c r="AR1251">
        <v>0</v>
      </c>
      <c r="AS1251">
        <v>0</v>
      </c>
      <c r="AT1251">
        <v>0</v>
      </c>
      <c r="BB1251" t="str">
        <f t="shared" si="139"/>
        <v>1200</v>
      </c>
      <c r="BC1251">
        <v>1</v>
      </c>
      <c r="BD1251" t="str">
        <f t="shared" si="141"/>
        <v xml:space="preserve">N745MB  </v>
      </c>
      <c r="BE1251">
        <v>1</v>
      </c>
      <c r="BG1251">
        <v>0</v>
      </c>
      <c r="BH1251">
        <v>0</v>
      </c>
      <c r="BI1251">
        <v>0</v>
      </c>
      <c r="BL1251" t="s">
        <v>130</v>
      </c>
      <c r="BM1251">
        <v>1</v>
      </c>
      <c r="BN1251">
        <v>0</v>
      </c>
      <c r="BO1251">
        <v>0</v>
      </c>
      <c r="BP1251">
        <v>0</v>
      </c>
      <c r="BT1251">
        <v>0</v>
      </c>
      <c r="BU1251">
        <v>0</v>
      </c>
      <c r="CE1251" t="str">
        <f>"20:28:30.532"</f>
        <v>20:28:30.532</v>
      </c>
      <c r="CF1251">
        <v>532142824</v>
      </c>
      <c r="CS1251">
        <v>0</v>
      </c>
      <c r="CT1251">
        <v>2</v>
      </c>
      <c r="CU1251">
        <v>0</v>
      </c>
      <c r="CV1251">
        <v>2</v>
      </c>
      <c r="CW1251">
        <v>0</v>
      </c>
      <c r="CX1251">
        <v>4</v>
      </c>
      <c r="CY1251">
        <v>7</v>
      </c>
      <c r="CZ1251" t="s">
        <v>131</v>
      </c>
      <c r="DA1251">
        <v>116</v>
      </c>
      <c r="DB1251">
        <v>0</v>
      </c>
      <c r="DC1251" t="s">
        <v>132</v>
      </c>
      <c r="DD1251" t="s">
        <v>133</v>
      </c>
      <c r="DG1251">
        <v>14795978</v>
      </c>
      <c r="DI1251">
        <v>0</v>
      </c>
      <c r="DJ1251">
        <v>1</v>
      </c>
      <c r="DK1251">
        <v>1</v>
      </c>
      <c r="DL1251">
        <v>0</v>
      </c>
      <c r="DM1251">
        <v>0</v>
      </c>
      <c r="DN1251">
        <v>0</v>
      </c>
      <c r="DO1251">
        <v>0</v>
      </c>
      <c r="DP1251">
        <v>1</v>
      </c>
      <c r="DQ1251">
        <v>0</v>
      </c>
      <c r="DR1251">
        <v>0</v>
      </c>
      <c r="DS1251">
        <v>1</v>
      </c>
    </row>
    <row r="1252" spans="1:123" x14ac:dyDescent="0.25">
      <c r="A1252" t="str">
        <f>"11/29/2023 20:28:30.931"</f>
        <v>11/29/2023 20:28:30.931</v>
      </c>
      <c r="C1252" t="str">
        <f t="shared" si="140"/>
        <v>FFDF53C0</v>
      </c>
      <c r="D1252" t="s">
        <v>123</v>
      </c>
      <c r="E1252">
        <v>1</v>
      </c>
      <c r="F1252">
        <v>1001</v>
      </c>
      <c r="G1252" t="s">
        <v>134</v>
      </c>
      <c r="J1252" t="s">
        <v>125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>"20:28:30.531"</f>
        <v>20:28:30.531</v>
      </c>
      <c r="T1252" t="str">
        <f>"20:28:30.131"</f>
        <v>20:28:30.131</v>
      </c>
      <c r="U1252" t="str">
        <f t="shared" si="138"/>
        <v>AA0632</v>
      </c>
      <c r="V1252">
        <v>0</v>
      </c>
      <c r="W1252">
        <v>0</v>
      </c>
      <c r="X1252">
        <v>2</v>
      </c>
      <c r="Y1252">
        <v>0</v>
      </c>
      <c r="AA1252">
        <v>0</v>
      </c>
      <c r="AB1252">
        <v>9</v>
      </c>
      <c r="AC1252">
        <v>3</v>
      </c>
      <c r="AD1252">
        <v>0</v>
      </c>
      <c r="AE1252">
        <v>10</v>
      </c>
      <c r="AF1252" t="s">
        <v>126</v>
      </c>
      <c r="AG1252">
        <v>0</v>
      </c>
      <c r="AH1252">
        <v>0</v>
      </c>
      <c r="AI1252">
        <v>2</v>
      </c>
      <c r="AJ1252">
        <v>0</v>
      </c>
      <c r="AK1252" t="s">
        <v>500</v>
      </c>
      <c r="AL1252">
        <v>31.923480000000001</v>
      </c>
      <c r="AM1252" t="s">
        <v>631</v>
      </c>
      <c r="AN1252">
        <v>-100.969291</v>
      </c>
      <c r="AQ1252" t="s">
        <v>129</v>
      </c>
      <c r="AR1252">
        <v>0</v>
      </c>
      <c r="AS1252">
        <v>0</v>
      </c>
      <c r="AT1252">
        <v>0</v>
      </c>
      <c r="BB1252" t="str">
        <f t="shared" si="139"/>
        <v>1200</v>
      </c>
      <c r="BC1252">
        <v>1</v>
      </c>
      <c r="BD1252" t="str">
        <f t="shared" si="141"/>
        <v xml:space="preserve">N745MB  </v>
      </c>
      <c r="BE1252">
        <v>1</v>
      </c>
      <c r="BG1252">
        <v>0</v>
      </c>
      <c r="BH1252">
        <v>0</v>
      </c>
      <c r="BI1252">
        <v>0</v>
      </c>
      <c r="BL1252" t="s">
        <v>130</v>
      </c>
      <c r="BM1252">
        <v>1</v>
      </c>
      <c r="BN1252">
        <v>0</v>
      </c>
      <c r="BO1252">
        <v>0</v>
      </c>
      <c r="BP1252">
        <v>0</v>
      </c>
      <c r="BT1252">
        <v>0</v>
      </c>
      <c r="BU1252">
        <v>0</v>
      </c>
      <c r="CE1252" t="str">
        <f>"20:28:30.532"</f>
        <v>20:28:30.532</v>
      </c>
      <c r="CF1252">
        <v>532142824</v>
      </c>
      <c r="CS1252">
        <v>0</v>
      </c>
      <c r="CT1252">
        <v>2</v>
      </c>
      <c r="CU1252">
        <v>0</v>
      </c>
      <c r="CV1252">
        <v>2</v>
      </c>
      <c r="CW1252">
        <v>0</v>
      </c>
      <c r="CX1252">
        <v>4</v>
      </c>
      <c r="CY1252">
        <v>7</v>
      </c>
      <c r="CZ1252" t="s">
        <v>131</v>
      </c>
      <c r="DA1252">
        <v>116</v>
      </c>
      <c r="DB1252">
        <v>0</v>
      </c>
      <c r="DC1252" t="s">
        <v>132</v>
      </c>
      <c r="DD1252" t="s">
        <v>133</v>
      </c>
      <c r="DG1252">
        <v>14795978</v>
      </c>
      <c r="DI1252">
        <v>0</v>
      </c>
      <c r="DJ1252">
        <v>1</v>
      </c>
      <c r="DK1252">
        <v>1</v>
      </c>
      <c r="DL1252">
        <v>0</v>
      </c>
      <c r="DM1252">
        <v>0</v>
      </c>
      <c r="DN1252">
        <v>0</v>
      </c>
      <c r="DO1252">
        <v>0</v>
      </c>
      <c r="DP1252">
        <v>1</v>
      </c>
      <c r="DQ1252">
        <v>0</v>
      </c>
      <c r="DR1252">
        <v>0</v>
      </c>
      <c r="DS1252">
        <v>1</v>
      </c>
    </row>
    <row r="1253" spans="1:123" x14ac:dyDescent="0.25">
      <c r="A1253" t="str">
        <f>"11/29/2023 20:28:32.384"</f>
        <v>11/29/2023 20:28:32.384</v>
      </c>
      <c r="C1253" t="str">
        <f t="shared" si="140"/>
        <v>FFDF53C0</v>
      </c>
      <c r="D1253" t="s">
        <v>138</v>
      </c>
      <c r="E1253">
        <v>3</v>
      </c>
      <c r="H1253">
        <v>160</v>
      </c>
      <c r="I1253" t="s">
        <v>124</v>
      </c>
      <c r="J1253" t="s">
        <v>139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>"20:28:31.945"</f>
        <v>20:28:31.945</v>
      </c>
      <c r="T1253" t="str">
        <f>"20:28:31.645"</f>
        <v>20:28:31.645</v>
      </c>
      <c r="U1253" t="str">
        <f t="shared" si="138"/>
        <v>AA0632</v>
      </c>
      <c r="V1253">
        <v>0</v>
      </c>
      <c r="W1253">
        <v>0</v>
      </c>
      <c r="X1253">
        <v>2</v>
      </c>
      <c r="Y1253">
        <v>0</v>
      </c>
      <c r="AA1253">
        <v>0</v>
      </c>
      <c r="AB1253">
        <v>9</v>
      </c>
      <c r="AC1253">
        <v>3</v>
      </c>
      <c r="AD1253">
        <v>0</v>
      </c>
      <c r="AE1253">
        <v>10</v>
      </c>
      <c r="AF1253" t="s">
        <v>126</v>
      </c>
      <c r="AG1253">
        <v>0</v>
      </c>
      <c r="AH1253">
        <v>0</v>
      </c>
      <c r="AI1253">
        <v>2</v>
      </c>
      <c r="AJ1253">
        <v>0</v>
      </c>
      <c r="AK1253" t="s">
        <v>500</v>
      </c>
      <c r="AL1253">
        <v>31.923480000000001</v>
      </c>
      <c r="AM1253" t="s">
        <v>631</v>
      </c>
      <c r="AN1253">
        <v>-100.969291</v>
      </c>
      <c r="AQ1253" t="s">
        <v>129</v>
      </c>
      <c r="AR1253">
        <v>0</v>
      </c>
      <c r="AS1253">
        <v>0</v>
      </c>
      <c r="AT1253">
        <v>0</v>
      </c>
      <c r="BB1253" t="str">
        <f t="shared" si="139"/>
        <v>1200</v>
      </c>
      <c r="BC1253">
        <v>1</v>
      </c>
      <c r="BD1253" t="str">
        <f t="shared" si="141"/>
        <v xml:space="preserve">N745MB  </v>
      </c>
      <c r="BE1253">
        <v>1</v>
      </c>
      <c r="BG1253">
        <v>0</v>
      </c>
      <c r="BH1253">
        <v>0</v>
      </c>
      <c r="BI1253">
        <v>0</v>
      </c>
      <c r="BL1253" t="s">
        <v>130</v>
      </c>
      <c r="BM1253">
        <v>1</v>
      </c>
      <c r="BN1253">
        <v>0</v>
      </c>
      <c r="BO1253">
        <v>0</v>
      </c>
      <c r="BP1253">
        <v>0</v>
      </c>
      <c r="BT1253">
        <v>0</v>
      </c>
      <c r="BU1253">
        <v>0</v>
      </c>
      <c r="CE1253" t="str">
        <f>"20:28:31.952"</f>
        <v>20:28:31.952</v>
      </c>
      <c r="CF1253">
        <v>952045079</v>
      </c>
      <c r="CS1253">
        <v>0</v>
      </c>
      <c r="CT1253">
        <v>2</v>
      </c>
      <c r="CU1253">
        <v>0</v>
      </c>
      <c r="CV1253">
        <v>2</v>
      </c>
      <c r="CW1253">
        <v>0</v>
      </c>
      <c r="CX1253">
        <v>4</v>
      </c>
      <c r="CY1253">
        <v>7</v>
      </c>
      <c r="CZ1253" t="s">
        <v>131</v>
      </c>
      <c r="DA1253">
        <v>116</v>
      </c>
      <c r="DB1253">
        <v>0</v>
      </c>
      <c r="DC1253" t="s">
        <v>132</v>
      </c>
      <c r="DD1253" t="s">
        <v>133</v>
      </c>
      <c r="DG1253">
        <v>14797062</v>
      </c>
      <c r="DI1253">
        <v>0</v>
      </c>
      <c r="DJ1253">
        <v>1</v>
      </c>
      <c r="DK1253">
        <v>0</v>
      </c>
      <c r="DL1253">
        <v>0</v>
      </c>
      <c r="DM1253">
        <v>0</v>
      </c>
      <c r="DN1253">
        <v>0</v>
      </c>
      <c r="DO1253">
        <v>0</v>
      </c>
      <c r="DP1253">
        <v>1</v>
      </c>
      <c r="DQ1253">
        <v>0</v>
      </c>
      <c r="DR1253">
        <v>0</v>
      </c>
      <c r="DS1253">
        <v>1</v>
      </c>
    </row>
    <row r="1254" spans="1:123" x14ac:dyDescent="0.25">
      <c r="A1254" t="str">
        <f>"11/29/2023 20:28:33.681"</f>
        <v>11/29/2023 20:28:33.681</v>
      </c>
      <c r="C1254" t="str">
        <f t="shared" si="140"/>
        <v>FFDF53C0</v>
      </c>
      <c r="D1254" t="s">
        <v>138</v>
      </c>
      <c r="E1254">
        <v>3</v>
      </c>
      <c r="H1254">
        <v>160</v>
      </c>
      <c r="I1254" t="s">
        <v>124</v>
      </c>
      <c r="J1254" t="s">
        <v>139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>"20:28:33.359"</f>
        <v>20:28:33.359</v>
      </c>
      <c r="T1254" t="str">
        <f>"20:28:33.059"</f>
        <v>20:28:33.059</v>
      </c>
      <c r="U1254" t="str">
        <f t="shared" si="138"/>
        <v>AA0632</v>
      </c>
      <c r="V1254">
        <v>0</v>
      </c>
      <c r="W1254">
        <v>0</v>
      </c>
      <c r="X1254">
        <v>2</v>
      </c>
      <c r="Y1254">
        <v>0</v>
      </c>
      <c r="AA1254">
        <v>0</v>
      </c>
      <c r="AB1254">
        <v>9</v>
      </c>
      <c r="AC1254">
        <v>3</v>
      </c>
      <c r="AD1254">
        <v>0</v>
      </c>
      <c r="AE1254">
        <v>10</v>
      </c>
      <c r="AF1254" t="s">
        <v>126</v>
      </c>
      <c r="AG1254">
        <v>0</v>
      </c>
      <c r="AH1254">
        <v>0</v>
      </c>
      <c r="AI1254">
        <v>2</v>
      </c>
      <c r="AJ1254">
        <v>0</v>
      </c>
      <c r="AK1254" t="s">
        <v>500</v>
      </c>
      <c r="AL1254">
        <v>31.923480000000001</v>
      </c>
      <c r="AM1254" t="s">
        <v>631</v>
      </c>
      <c r="AN1254">
        <v>-100.969291</v>
      </c>
      <c r="AQ1254" t="s">
        <v>129</v>
      </c>
      <c r="AR1254">
        <v>0</v>
      </c>
      <c r="AS1254">
        <v>0</v>
      </c>
      <c r="AT1254">
        <v>0</v>
      </c>
      <c r="BB1254" t="str">
        <f t="shared" si="139"/>
        <v>1200</v>
      </c>
      <c r="BC1254">
        <v>1</v>
      </c>
      <c r="BD1254" t="str">
        <f t="shared" si="141"/>
        <v xml:space="preserve">N745MB  </v>
      </c>
      <c r="BE1254">
        <v>1</v>
      </c>
      <c r="BG1254">
        <v>0</v>
      </c>
      <c r="BH1254">
        <v>0</v>
      </c>
      <c r="BI1254">
        <v>0</v>
      </c>
      <c r="BL1254" t="s">
        <v>130</v>
      </c>
      <c r="BM1254">
        <v>1</v>
      </c>
      <c r="BN1254">
        <v>0</v>
      </c>
      <c r="BO1254">
        <v>0</v>
      </c>
      <c r="BP1254">
        <v>0</v>
      </c>
      <c r="BT1254">
        <v>0</v>
      </c>
      <c r="BU1254">
        <v>0</v>
      </c>
      <c r="CE1254" t="str">
        <f>"20:28:33.360"</f>
        <v>20:28:33.360</v>
      </c>
      <c r="CF1254">
        <v>359949047</v>
      </c>
      <c r="CS1254">
        <v>0</v>
      </c>
      <c r="CT1254">
        <v>2</v>
      </c>
      <c r="CU1254">
        <v>0</v>
      </c>
      <c r="CV1254">
        <v>2</v>
      </c>
      <c r="CW1254">
        <v>0</v>
      </c>
      <c r="CX1254">
        <v>4</v>
      </c>
      <c r="CY1254">
        <v>7</v>
      </c>
      <c r="CZ1254" t="s">
        <v>131</v>
      </c>
      <c r="DA1254">
        <v>116</v>
      </c>
      <c r="DB1254">
        <v>0</v>
      </c>
      <c r="DC1254" t="s">
        <v>132</v>
      </c>
      <c r="DD1254" t="s">
        <v>133</v>
      </c>
      <c r="DG1254">
        <v>14798152</v>
      </c>
      <c r="DI1254">
        <v>0</v>
      </c>
      <c r="DJ1254">
        <v>1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1</v>
      </c>
      <c r="DQ1254">
        <v>0</v>
      </c>
      <c r="DR1254">
        <v>0</v>
      </c>
      <c r="DS1254">
        <v>1</v>
      </c>
    </row>
    <row r="1255" spans="1:123" x14ac:dyDescent="0.25">
      <c r="A1255" t="str">
        <f>"11/29/2023 20:28:33.681"</f>
        <v>11/29/2023 20:28:33.681</v>
      </c>
      <c r="C1255" t="str">
        <f t="shared" si="140"/>
        <v>FFDF53C0</v>
      </c>
      <c r="D1255" t="s">
        <v>135</v>
      </c>
      <c r="E1255">
        <v>31</v>
      </c>
      <c r="H1255">
        <v>285</v>
      </c>
      <c r="I1255" t="s">
        <v>136</v>
      </c>
      <c r="J1255" t="s">
        <v>137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>"20:28:33.359"</f>
        <v>20:28:33.359</v>
      </c>
      <c r="T1255" t="str">
        <f>"20:28:33.059"</f>
        <v>20:28:33.059</v>
      </c>
      <c r="U1255" t="str">
        <f t="shared" si="138"/>
        <v>AA0632</v>
      </c>
      <c r="V1255">
        <v>0</v>
      </c>
      <c r="W1255">
        <v>0</v>
      </c>
      <c r="X1255">
        <v>2</v>
      </c>
      <c r="Y1255">
        <v>0</v>
      </c>
      <c r="AA1255">
        <v>0</v>
      </c>
      <c r="AB1255">
        <v>9</v>
      </c>
      <c r="AC1255">
        <v>3</v>
      </c>
      <c r="AD1255">
        <v>0</v>
      </c>
      <c r="AE1255">
        <v>10</v>
      </c>
      <c r="AF1255" t="s">
        <v>126</v>
      </c>
      <c r="AG1255">
        <v>0</v>
      </c>
      <c r="AH1255">
        <v>0</v>
      </c>
      <c r="AI1255">
        <v>2</v>
      </c>
      <c r="AJ1255">
        <v>0</v>
      </c>
      <c r="AK1255" t="s">
        <v>500</v>
      </c>
      <c r="AL1255">
        <v>31.923480000000001</v>
      </c>
      <c r="AM1255" t="s">
        <v>631</v>
      </c>
      <c r="AN1255">
        <v>-100.969291</v>
      </c>
      <c r="AQ1255" t="s">
        <v>129</v>
      </c>
      <c r="AR1255">
        <v>0</v>
      </c>
      <c r="AS1255">
        <v>0</v>
      </c>
      <c r="AT1255">
        <v>0</v>
      </c>
      <c r="BB1255" t="str">
        <f t="shared" si="139"/>
        <v>1200</v>
      </c>
      <c r="BC1255">
        <v>1</v>
      </c>
      <c r="BD1255" t="str">
        <f t="shared" si="141"/>
        <v xml:space="preserve">N745MB  </v>
      </c>
      <c r="BE1255">
        <v>1</v>
      </c>
      <c r="BG1255">
        <v>0</v>
      </c>
      <c r="BH1255">
        <v>0</v>
      </c>
      <c r="BI1255">
        <v>0</v>
      </c>
      <c r="BL1255" t="s">
        <v>130</v>
      </c>
      <c r="BM1255">
        <v>1</v>
      </c>
      <c r="BN1255">
        <v>0</v>
      </c>
      <c r="BO1255">
        <v>0</v>
      </c>
      <c r="BP1255">
        <v>0</v>
      </c>
      <c r="BT1255">
        <v>0</v>
      </c>
      <c r="BU1255">
        <v>0</v>
      </c>
      <c r="CE1255" t="str">
        <f>"20:28:33.360"</f>
        <v>20:28:33.360</v>
      </c>
      <c r="CF1255">
        <v>359949047</v>
      </c>
      <c r="CS1255">
        <v>0</v>
      </c>
      <c r="CT1255">
        <v>2</v>
      </c>
      <c r="CU1255">
        <v>0</v>
      </c>
      <c r="CV1255">
        <v>2</v>
      </c>
      <c r="CW1255">
        <v>0</v>
      </c>
      <c r="CX1255">
        <v>4</v>
      </c>
      <c r="CY1255">
        <v>7</v>
      </c>
      <c r="CZ1255" t="s">
        <v>131</v>
      </c>
      <c r="DA1255">
        <v>116</v>
      </c>
      <c r="DB1255">
        <v>0</v>
      </c>
      <c r="DC1255" t="s">
        <v>132</v>
      </c>
      <c r="DD1255" t="s">
        <v>133</v>
      </c>
      <c r="DG1255">
        <v>14798152</v>
      </c>
      <c r="DI1255">
        <v>0</v>
      </c>
      <c r="DJ1255">
        <v>1</v>
      </c>
      <c r="DK1255">
        <v>1</v>
      </c>
      <c r="DL1255">
        <v>0</v>
      </c>
      <c r="DM1255">
        <v>0</v>
      </c>
      <c r="DN1255">
        <v>0</v>
      </c>
      <c r="DO1255">
        <v>0</v>
      </c>
      <c r="DP1255">
        <v>1</v>
      </c>
      <c r="DQ1255">
        <v>0</v>
      </c>
      <c r="DR1255">
        <v>0</v>
      </c>
      <c r="DS1255">
        <v>1</v>
      </c>
    </row>
    <row r="1256" spans="1:123" x14ac:dyDescent="0.25">
      <c r="A1256" t="str">
        <f>"11/29/2023 20:28:33.681"</f>
        <v>11/29/2023 20:28:33.681</v>
      </c>
      <c r="C1256" t="str">
        <f t="shared" si="140"/>
        <v>FFDF53C0</v>
      </c>
      <c r="D1256" t="s">
        <v>123</v>
      </c>
      <c r="E1256">
        <v>1</v>
      </c>
      <c r="F1256">
        <v>1001</v>
      </c>
      <c r="G1256" t="s">
        <v>134</v>
      </c>
      <c r="J1256" t="s">
        <v>125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>"20:28:33.359"</f>
        <v>20:28:33.359</v>
      </c>
      <c r="T1256" t="str">
        <f>"20:28:33.059"</f>
        <v>20:28:33.059</v>
      </c>
      <c r="U1256" t="str">
        <f t="shared" si="138"/>
        <v>AA0632</v>
      </c>
      <c r="V1256">
        <v>0</v>
      </c>
      <c r="W1256">
        <v>0</v>
      </c>
      <c r="X1256">
        <v>2</v>
      </c>
      <c r="Y1256">
        <v>0</v>
      </c>
      <c r="AA1256">
        <v>0</v>
      </c>
      <c r="AB1256">
        <v>9</v>
      </c>
      <c r="AC1256">
        <v>3</v>
      </c>
      <c r="AD1256">
        <v>0</v>
      </c>
      <c r="AE1256">
        <v>10</v>
      </c>
      <c r="AF1256" t="s">
        <v>126</v>
      </c>
      <c r="AG1256">
        <v>0</v>
      </c>
      <c r="AH1256">
        <v>0</v>
      </c>
      <c r="AI1256">
        <v>2</v>
      </c>
      <c r="AJ1256">
        <v>0</v>
      </c>
      <c r="AK1256" t="s">
        <v>500</v>
      </c>
      <c r="AL1256">
        <v>31.923480000000001</v>
      </c>
      <c r="AM1256" t="s">
        <v>631</v>
      </c>
      <c r="AN1256">
        <v>-100.969291</v>
      </c>
      <c r="AQ1256" t="s">
        <v>129</v>
      </c>
      <c r="AR1256">
        <v>0</v>
      </c>
      <c r="AS1256">
        <v>0</v>
      </c>
      <c r="AT1256">
        <v>0</v>
      </c>
      <c r="BB1256" t="str">
        <f t="shared" si="139"/>
        <v>1200</v>
      </c>
      <c r="BC1256">
        <v>1</v>
      </c>
      <c r="BD1256" t="str">
        <f t="shared" si="141"/>
        <v xml:space="preserve">N745MB  </v>
      </c>
      <c r="BE1256">
        <v>1</v>
      </c>
      <c r="BG1256">
        <v>0</v>
      </c>
      <c r="BH1256">
        <v>0</v>
      </c>
      <c r="BI1256">
        <v>0</v>
      </c>
      <c r="BL1256" t="s">
        <v>130</v>
      </c>
      <c r="BM1256">
        <v>1</v>
      </c>
      <c r="BN1256">
        <v>0</v>
      </c>
      <c r="BO1256">
        <v>0</v>
      </c>
      <c r="BP1256">
        <v>0</v>
      </c>
      <c r="BT1256">
        <v>0</v>
      </c>
      <c r="BU1256">
        <v>0</v>
      </c>
      <c r="CE1256" t="str">
        <f>"20:28:33.360"</f>
        <v>20:28:33.360</v>
      </c>
      <c r="CF1256">
        <v>359949047</v>
      </c>
      <c r="CS1256">
        <v>0</v>
      </c>
      <c r="CT1256">
        <v>2</v>
      </c>
      <c r="CU1256">
        <v>0</v>
      </c>
      <c r="CV1256">
        <v>2</v>
      </c>
      <c r="CW1256">
        <v>0</v>
      </c>
      <c r="CX1256">
        <v>4</v>
      </c>
      <c r="CY1256">
        <v>7</v>
      </c>
      <c r="CZ1256" t="s">
        <v>131</v>
      </c>
      <c r="DA1256">
        <v>116</v>
      </c>
      <c r="DB1256">
        <v>0</v>
      </c>
      <c r="DC1256" t="s">
        <v>132</v>
      </c>
      <c r="DD1256" t="s">
        <v>133</v>
      </c>
      <c r="DG1256">
        <v>14798152</v>
      </c>
      <c r="DI1256">
        <v>0</v>
      </c>
      <c r="DJ1256">
        <v>1</v>
      </c>
      <c r="DK1256">
        <v>1</v>
      </c>
      <c r="DL1256">
        <v>0</v>
      </c>
      <c r="DM1256">
        <v>0</v>
      </c>
      <c r="DN1256">
        <v>0</v>
      </c>
      <c r="DO1256">
        <v>0</v>
      </c>
      <c r="DP1256">
        <v>1</v>
      </c>
      <c r="DQ1256">
        <v>0</v>
      </c>
      <c r="DR1256">
        <v>0</v>
      </c>
      <c r="DS1256">
        <v>1</v>
      </c>
    </row>
    <row r="1257" spans="1:123" x14ac:dyDescent="0.25">
      <c r="A1257" t="str">
        <f>"11/29/2023 20:28:33.696"</f>
        <v>11/29/2023 20:28:33.696</v>
      </c>
      <c r="C1257" t="str">
        <f t="shared" si="140"/>
        <v>FFDF53C0</v>
      </c>
      <c r="D1257" t="s">
        <v>123</v>
      </c>
      <c r="E1257">
        <v>14</v>
      </c>
      <c r="F1257">
        <v>1014</v>
      </c>
      <c r="G1257" t="s">
        <v>124</v>
      </c>
      <c r="J1257" t="s">
        <v>125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>"20:28:33.359"</f>
        <v>20:28:33.359</v>
      </c>
      <c r="T1257" t="str">
        <f>"20:28:33.059"</f>
        <v>20:28:33.059</v>
      </c>
      <c r="U1257" t="str">
        <f t="shared" si="138"/>
        <v>AA0632</v>
      </c>
      <c r="V1257">
        <v>0</v>
      </c>
      <c r="W1257">
        <v>0</v>
      </c>
      <c r="X1257">
        <v>2</v>
      </c>
      <c r="Y1257">
        <v>0</v>
      </c>
      <c r="AA1257">
        <v>0</v>
      </c>
      <c r="AB1257">
        <v>9</v>
      </c>
      <c r="AC1257">
        <v>3</v>
      </c>
      <c r="AD1257">
        <v>0</v>
      </c>
      <c r="AE1257">
        <v>10</v>
      </c>
      <c r="AF1257" t="s">
        <v>126</v>
      </c>
      <c r="AG1257">
        <v>0</v>
      </c>
      <c r="AH1257">
        <v>0</v>
      </c>
      <c r="AI1257">
        <v>2</v>
      </c>
      <c r="AJ1257">
        <v>0</v>
      </c>
      <c r="AK1257" t="s">
        <v>500</v>
      </c>
      <c r="AL1257">
        <v>31.923480000000001</v>
      </c>
      <c r="AM1257" t="s">
        <v>631</v>
      </c>
      <c r="AN1257">
        <v>-100.969291</v>
      </c>
      <c r="AQ1257" t="s">
        <v>129</v>
      </c>
      <c r="AR1257">
        <v>0</v>
      </c>
      <c r="AS1257">
        <v>0</v>
      </c>
      <c r="AT1257">
        <v>0</v>
      </c>
      <c r="BB1257" t="str">
        <f t="shared" si="139"/>
        <v>1200</v>
      </c>
      <c r="BC1257">
        <v>1</v>
      </c>
      <c r="BD1257" t="str">
        <f t="shared" si="141"/>
        <v xml:space="preserve">N745MB  </v>
      </c>
      <c r="BE1257">
        <v>1</v>
      </c>
      <c r="BG1257">
        <v>0</v>
      </c>
      <c r="BH1257">
        <v>0</v>
      </c>
      <c r="BI1257">
        <v>0</v>
      </c>
      <c r="BL1257" t="s">
        <v>130</v>
      </c>
      <c r="BM1257">
        <v>1</v>
      </c>
      <c r="BN1257">
        <v>0</v>
      </c>
      <c r="BO1257">
        <v>0</v>
      </c>
      <c r="BP1257">
        <v>0</v>
      </c>
      <c r="BT1257">
        <v>0</v>
      </c>
      <c r="BU1257">
        <v>0</v>
      </c>
      <c r="CE1257" t="str">
        <f>"20:28:33.360"</f>
        <v>20:28:33.360</v>
      </c>
      <c r="CF1257">
        <v>359949047</v>
      </c>
      <c r="CS1257">
        <v>0</v>
      </c>
      <c r="CT1257">
        <v>2</v>
      </c>
      <c r="CU1257">
        <v>0</v>
      </c>
      <c r="CV1257">
        <v>2</v>
      </c>
      <c r="CW1257">
        <v>0</v>
      </c>
      <c r="CX1257">
        <v>4</v>
      </c>
      <c r="CY1257">
        <v>7</v>
      </c>
      <c r="CZ1257" t="s">
        <v>131</v>
      </c>
      <c r="DA1257">
        <v>116</v>
      </c>
      <c r="DB1257">
        <v>0</v>
      </c>
      <c r="DC1257" t="s">
        <v>132</v>
      </c>
      <c r="DD1257" t="s">
        <v>133</v>
      </c>
      <c r="DG1257">
        <v>14798152</v>
      </c>
      <c r="DI1257">
        <v>0</v>
      </c>
      <c r="DJ1257">
        <v>1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1</v>
      </c>
      <c r="DQ1257">
        <v>0</v>
      </c>
      <c r="DR1257">
        <v>0</v>
      </c>
      <c r="DS1257">
        <v>1</v>
      </c>
    </row>
    <row r="1258" spans="1:123" x14ac:dyDescent="0.25">
      <c r="A1258" t="str">
        <f>"11/29/2023 20:28:35.243"</f>
        <v>11/29/2023 20:28:35.243</v>
      </c>
      <c r="C1258" t="str">
        <f t="shared" si="140"/>
        <v>FFDF53C0</v>
      </c>
      <c r="D1258" t="s">
        <v>135</v>
      </c>
      <c r="E1258">
        <v>31</v>
      </c>
      <c r="H1258">
        <v>285</v>
      </c>
      <c r="I1258" t="s">
        <v>136</v>
      </c>
      <c r="J1258" t="s">
        <v>137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>"20:28:34.867"</f>
        <v>20:28:34.867</v>
      </c>
      <c r="T1258" t="str">
        <f>"20:28:33.567"</f>
        <v>20:28:33.567</v>
      </c>
      <c r="U1258" t="str">
        <f t="shared" si="138"/>
        <v>AA0632</v>
      </c>
      <c r="V1258">
        <v>0</v>
      </c>
      <c r="W1258">
        <v>0</v>
      </c>
      <c r="X1258">
        <v>2</v>
      </c>
      <c r="Y1258">
        <v>0</v>
      </c>
      <c r="AA1258">
        <v>0</v>
      </c>
      <c r="AB1258">
        <v>9</v>
      </c>
      <c r="AC1258">
        <v>3</v>
      </c>
      <c r="AD1258">
        <v>0</v>
      </c>
      <c r="AE1258">
        <v>10</v>
      </c>
      <c r="AF1258" t="s">
        <v>126</v>
      </c>
      <c r="AG1258">
        <v>0</v>
      </c>
      <c r="AH1258">
        <v>0</v>
      </c>
      <c r="AI1258">
        <v>2</v>
      </c>
      <c r="AJ1258">
        <v>0</v>
      </c>
      <c r="AK1258" t="s">
        <v>500</v>
      </c>
      <c r="AL1258">
        <v>31.923480000000001</v>
      </c>
      <c r="AM1258" t="s">
        <v>631</v>
      </c>
      <c r="AN1258">
        <v>-100.969291</v>
      </c>
      <c r="AQ1258" t="s">
        <v>129</v>
      </c>
      <c r="AR1258">
        <v>0</v>
      </c>
      <c r="AS1258">
        <v>0</v>
      </c>
      <c r="AT1258">
        <v>0</v>
      </c>
      <c r="BB1258" t="str">
        <f t="shared" si="139"/>
        <v>1200</v>
      </c>
      <c r="BC1258">
        <v>1</v>
      </c>
      <c r="BD1258" t="str">
        <f t="shared" si="141"/>
        <v xml:space="preserve">N745MB  </v>
      </c>
      <c r="BE1258">
        <v>1</v>
      </c>
      <c r="BG1258">
        <v>0</v>
      </c>
      <c r="BH1258">
        <v>0</v>
      </c>
      <c r="BI1258">
        <v>0</v>
      </c>
      <c r="BL1258" t="s">
        <v>130</v>
      </c>
      <c r="BM1258">
        <v>1</v>
      </c>
      <c r="BN1258">
        <v>0</v>
      </c>
      <c r="BO1258">
        <v>0</v>
      </c>
      <c r="BP1258">
        <v>0</v>
      </c>
      <c r="BT1258">
        <v>0</v>
      </c>
      <c r="BU1258">
        <v>0</v>
      </c>
      <c r="CE1258" t="str">
        <f>"20:28:34.868"</f>
        <v>20:28:34.868</v>
      </c>
      <c r="CF1258">
        <v>867847690</v>
      </c>
      <c r="CS1258">
        <v>0</v>
      </c>
      <c r="CT1258">
        <v>2</v>
      </c>
      <c r="CU1258">
        <v>0</v>
      </c>
      <c r="CV1258">
        <v>2</v>
      </c>
      <c r="CW1258">
        <v>0</v>
      </c>
      <c r="CX1258">
        <v>4</v>
      </c>
      <c r="CY1258">
        <v>7</v>
      </c>
      <c r="CZ1258" t="s">
        <v>131</v>
      </c>
      <c r="DA1258">
        <v>116</v>
      </c>
      <c r="DB1258">
        <v>0</v>
      </c>
      <c r="DC1258" t="s">
        <v>132</v>
      </c>
      <c r="DD1258" t="s">
        <v>133</v>
      </c>
      <c r="DG1258">
        <v>14799405</v>
      </c>
      <c r="DI1258">
        <v>0</v>
      </c>
      <c r="DJ1258">
        <v>1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1</v>
      </c>
      <c r="DQ1258">
        <v>0</v>
      </c>
      <c r="DR1258">
        <v>0</v>
      </c>
      <c r="DS1258">
        <v>1</v>
      </c>
    </row>
    <row r="1259" spans="1:123" x14ac:dyDescent="0.25">
      <c r="A1259" t="str">
        <f>"11/29/2023 20:28:35.243"</f>
        <v>11/29/2023 20:28:35.243</v>
      </c>
      <c r="C1259" t="str">
        <f t="shared" si="140"/>
        <v>FFDF53C0</v>
      </c>
      <c r="D1259" t="s">
        <v>123</v>
      </c>
      <c r="E1259">
        <v>1</v>
      </c>
      <c r="F1259">
        <v>1001</v>
      </c>
      <c r="G1259" t="s">
        <v>134</v>
      </c>
      <c r="J1259" t="s">
        <v>125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>"20:28:34.867"</f>
        <v>20:28:34.867</v>
      </c>
      <c r="T1259" t="str">
        <f>"20:28:33.567"</f>
        <v>20:28:33.567</v>
      </c>
      <c r="U1259" t="str">
        <f t="shared" si="138"/>
        <v>AA0632</v>
      </c>
      <c r="V1259">
        <v>0</v>
      </c>
      <c r="W1259">
        <v>0</v>
      </c>
      <c r="X1259">
        <v>2</v>
      </c>
      <c r="Y1259">
        <v>0</v>
      </c>
      <c r="AA1259">
        <v>0</v>
      </c>
      <c r="AB1259">
        <v>9</v>
      </c>
      <c r="AC1259">
        <v>3</v>
      </c>
      <c r="AD1259">
        <v>0</v>
      </c>
      <c r="AE1259">
        <v>10</v>
      </c>
      <c r="AF1259" t="s">
        <v>126</v>
      </c>
      <c r="AG1259">
        <v>0</v>
      </c>
      <c r="AH1259">
        <v>0</v>
      </c>
      <c r="AI1259">
        <v>2</v>
      </c>
      <c r="AJ1259">
        <v>0</v>
      </c>
      <c r="AK1259" t="s">
        <v>500</v>
      </c>
      <c r="AL1259">
        <v>31.923480000000001</v>
      </c>
      <c r="AM1259" t="s">
        <v>631</v>
      </c>
      <c r="AN1259">
        <v>-100.969291</v>
      </c>
      <c r="AQ1259" t="s">
        <v>129</v>
      </c>
      <c r="AR1259">
        <v>0</v>
      </c>
      <c r="AS1259">
        <v>0</v>
      </c>
      <c r="AT1259">
        <v>0</v>
      </c>
      <c r="BB1259" t="str">
        <f t="shared" si="139"/>
        <v>1200</v>
      </c>
      <c r="BC1259">
        <v>1</v>
      </c>
      <c r="BD1259" t="str">
        <f t="shared" si="141"/>
        <v xml:space="preserve">N745MB  </v>
      </c>
      <c r="BE1259">
        <v>1</v>
      </c>
      <c r="BG1259">
        <v>0</v>
      </c>
      <c r="BH1259">
        <v>0</v>
      </c>
      <c r="BI1259">
        <v>0</v>
      </c>
      <c r="BL1259" t="s">
        <v>130</v>
      </c>
      <c r="BM1259">
        <v>1</v>
      </c>
      <c r="BN1259">
        <v>0</v>
      </c>
      <c r="BO1259">
        <v>0</v>
      </c>
      <c r="BP1259">
        <v>0</v>
      </c>
      <c r="BT1259">
        <v>0</v>
      </c>
      <c r="BU1259">
        <v>0</v>
      </c>
      <c r="CE1259" t="str">
        <f>"20:28:34.868"</f>
        <v>20:28:34.868</v>
      </c>
      <c r="CF1259">
        <v>867847690</v>
      </c>
      <c r="CS1259">
        <v>0</v>
      </c>
      <c r="CT1259">
        <v>2</v>
      </c>
      <c r="CU1259">
        <v>0</v>
      </c>
      <c r="CV1259">
        <v>2</v>
      </c>
      <c r="CW1259">
        <v>0</v>
      </c>
      <c r="CX1259">
        <v>4</v>
      </c>
      <c r="CY1259">
        <v>7</v>
      </c>
      <c r="CZ1259" t="s">
        <v>131</v>
      </c>
      <c r="DA1259">
        <v>116</v>
      </c>
      <c r="DB1259">
        <v>0</v>
      </c>
      <c r="DC1259" t="s">
        <v>132</v>
      </c>
      <c r="DD1259" t="s">
        <v>133</v>
      </c>
      <c r="DG1259">
        <v>14799405</v>
      </c>
      <c r="DI1259">
        <v>0</v>
      </c>
      <c r="DJ1259">
        <v>1</v>
      </c>
      <c r="DK1259">
        <v>1</v>
      </c>
      <c r="DL1259">
        <v>0</v>
      </c>
      <c r="DM1259">
        <v>0</v>
      </c>
      <c r="DN1259">
        <v>0</v>
      </c>
      <c r="DO1259">
        <v>0</v>
      </c>
      <c r="DP1259">
        <v>1</v>
      </c>
      <c r="DQ1259">
        <v>0</v>
      </c>
      <c r="DR1259">
        <v>0</v>
      </c>
      <c r="DS1259">
        <v>1</v>
      </c>
    </row>
    <row r="1260" spans="1:123" x14ac:dyDescent="0.25">
      <c r="A1260" t="str">
        <f>"11/29/2023 20:28:35.259"</f>
        <v>11/29/2023 20:28:35.259</v>
      </c>
      <c r="C1260" t="str">
        <f t="shared" si="140"/>
        <v>FFDF53C0</v>
      </c>
      <c r="D1260" t="s">
        <v>123</v>
      </c>
      <c r="E1260">
        <v>14</v>
      </c>
      <c r="F1260">
        <v>1014</v>
      </c>
      <c r="G1260" t="s">
        <v>124</v>
      </c>
      <c r="J1260" t="s">
        <v>125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>"20:28:34.867"</f>
        <v>20:28:34.867</v>
      </c>
      <c r="T1260" t="str">
        <f>"20:28:33.567"</f>
        <v>20:28:33.567</v>
      </c>
      <c r="U1260" t="str">
        <f t="shared" si="138"/>
        <v>AA0632</v>
      </c>
      <c r="V1260">
        <v>0</v>
      </c>
      <c r="W1260">
        <v>0</v>
      </c>
      <c r="X1260">
        <v>2</v>
      </c>
      <c r="Y1260">
        <v>0</v>
      </c>
      <c r="AA1260">
        <v>0</v>
      </c>
      <c r="AB1260">
        <v>9</v>
      </c>
      <c r="AC1260">
        <v>3</v>
      </c>
      <c r="AD1260">
        <v>0</v>
      </c>
      <c r="AE1260">
        <v>10</v>
      </c>
      <c r="AF1260" t="s">
        <v>126</v>
      </c>
      <c r="AG1260">
        <v>0</v>
      </c>
      <c r="AH1260">
        <v>0</v>
      </c>
      <c r="AI1260">
        <v>2</v>
      </c>
      <c r="AJ1260">
        <v>0</v>
      </c>
      <c r="AK1260" t="s">
        <v>500</v>
      </c>
      <c r="AL1260">
        <v>31.923480000000001</v>
      </c>
      <c r="AM1260" t="s">
        <v>631</v>
      </c>
      <c r="AN1260">
        <v>-100.969291</v>
      </c>
      <c r="AQ1260" t="s">
        <v>129</v>
      </c>
      <c r="AR1260">
        <v>0</v>
      </c>
      <c r="AS1260">
        <v>0</v>
      </c>
      <c r="AT1260">
        <v>0</v>
      </c>
      <c r="BB1260" t="str">
        <f t="shared" si="139"/>
        <v>1200</v>
      </c>
      <c r="BC1260">
        <v>1</v>
      </c>
      <c r="BD1260" t="str">
        <f t="shared" si="141"/>
        <v xml:space="preserve">N745MB  </v>
      </c>
      <c r="BE1260">
        <v>1</v>
      </c>
      <c r="BG1260">
        <v>0</v>
      </c>
      <c r="BH1260">
        <v>0</v>
      </c>
      <c r="BI1260">
        <v>0</v>
      </c>
      <c r="BL1260" t="s">
        <v>130</v>
      </c>
      <c r="BM1260">
        <v>1</v>
      </c>
      <c r="BN1260">
        <v>0</v>
      </c>
      <c r="BO1260">
        <v>0</v>
      </c>
      <c r="BP1260">
        <v>0</v>
      </c>
      <c r="BT1260">
        <v>0</v>
      </c>
      <c r="BU1260">
        <v>0</v>
      </c>
      <c r="CE1260" t="str">
        <f>"20:28:34.868"</f>
        <v>20:28:34.868</v>
      </c>
      <c r="CF1260">
        <v>867847690</v>
      </c>
      <c r="CS1260">
        <v>0</v>
      </c>
      <c r="CT1260">
        <v>2</v>
      </c>
      <c r="CU1260">
        <v>0</v>
      </c>
      <c r="CV1260">
        <v>2</v>
      </c>
      <c r="CW1260">
        <v>0</v>
      </c>
      <c r="CX1260">
        <v>4</v>
      </c>
      <c r="CY1260">
        <v>7</v>
      </c>
      <c r="CZ1260" t="s">
        <v>131</v>
      </c>
      <c r="DA1260">
        <v>116</v>
      </c>
      <c r="DB1260">
        <v>0</v>
      </c>
      <c r="DC1260" t="s">
        <v>132</v>
      </c>
      <c r="DD1260" t="s">
        <v>133</v>
      </c>
      <c r="DG1260">
        <v>14799405</v>
      </c>
      <c r="DI1260">
        <v>0</v>
      </c>
      <c r="DJ1260">
        <v>1</v>
      </c>
      <c r="DK1260">
        <v>1</v>
      </c>
      <c r="DL1260">
        <v>0</v>
      </c>
      <c r="DM1260">
        <v>0</v>
      </c>
      <c r="DN1260">
        <v>0</v>
      </c>
      <c r="DO1260">
        <v>0</v>
      </c>
      <c r="DP1260">
        <v>1</v>
      </c>
      <c r="DQ1260">
        <v>0</v>
      </c>
      <c r="DR1260">
        <v>0</v>
      </c>
      <c r="DS1260">
        <v>1</v>
      </c>
    </row>
    <row r="1261" spans="1:123" x14ac:dyDescent="0.25">
      <c r="A1261" t="str">
        <f>"11/29/2023 20:28:35.259"</f>
        <v>11/29/2023 20:28:35.259</v>
      </c>
      <c r="C1261" t="str">
        <f t="shared" si="140"/>
        <v>FFDF53C0</v>
      </c>
      <c r="D1261" t="s">
        <v>138</v>
      </c>
      <c r="E1261">
        <v>3</v>
      </c>
      <c r="H1261">
        <v>160</v>
      </c>
      <c r="I1261" t="s">
        <v>124</v>
      </c>
      <c r="J1261" t="s">
        <v>139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>"20:28:34.867"</f>
        <v>20:28:34.867</v>
      </c>
      <c r="T1261" t="str">
        <f>"20:28:33.567"</f>
        <v>20:28:33.567</v>
      </c>
      <c r="U1261" t="str">
        <f t="shared" si="138"/>
        <v>AA0632</v>
      </c>
      <c r="V1261">
        <v>0</v>
      </c>
      <c r="W1261">
        <v>0</v>
      </c>
      <c r="X1261">
        <v>2</v>
      </c>
      <c r="Y1261">
        <v>0</v>
      </c>
      <c r="AA1261">
        <v>0</v>
      </c>
      <c r="AB1261">
        <v>9</v>
      </c>
      <c r="AC1261">
        <v>3</v>
      </c>
      <c r="AD1261">
        <v>0</v>
      </c>
      <c r="AE1261">
        <v>10</v>
      </c>
      <c r="AF1261" t="s">
        <v>126</v>
      </c>
      <c r="AG1261">
        <v>0</v>
      </c>
      <c r="AH1261">
        <v>0</v>
      </c>
      <c r="AI1261">
        <v>2</v>
      </c>
      <c r="AJ1261">
        <v>0</v>
      </c>
      <c r="AK1261" t="s">
        <v>500</v>
      </c>
      <c r="AL1261">
        <v>31.923480000000001</v>
      </c>
      <c r="AM1261" t="s">
        <v>631</v>
      </c>
      <c r="AN1261">
        <v>-100.969291</v>
      </c>
      <c r="AQ1261" t="s">
        <v>129</v>
      </c>
      <c r="AR1261">
        <v>0</v>
      </c>
      <c r="AS1261">
        <v>0</v>
      </c>
      <c r="AT1261">
        <v>0</v>
      </c>
      <c r="BB1261" t="str">
        <f t="shared" si="139"/>
        <v>1200</v>
      </c>
      <c r="BC1261">
        <v>1</v>
      </c>
      <c r="BD1261" t="str">
        <f t="shared" si="141"/>
        <v xml:space="preserve">N745MB  </v>
      </c>
      <c r="BE1261">
        <v>1</v>
      </c>
      <c r="BG1261">
        <v>0</v>
      </c>
      <c r="BH1261">
        <v>0</v>
      </c>
      <c r="BI1261">
        <v>0</v>
      </c>
      <c r="BL1261" t="s">
        <v>130</v>
      </c>
      <c r="BM1261">
        <v>1</v>
      </c>
      <c r="BN1261">
        <v>0</v>
      </c>
      <c r="BO1261">
        <v>0</v>
      </c>
      <c r="BP1261">
        <v>0</v>
      </c>
      <c r="BT1261">
        <v>0</v>
      </c>
      <c r="BU1261">
        <v>0</v>
      </c>
      <c r="CE1261" t="str">
        <f>"20:28:34.868"</f>
        <v>20:28:34.868</v>
      </c>
      <c r="CF1261">
        <v>867847690</v>
      </c>
      <c r="CS1261">
        <v>0</v>
      </c>
      <c r="CT1261">
        <v>2</v>
      </c>
      <c r="CU1261">
        <v>0</v>
      </c>
      <c r="CV1261">
        <v>2</v>
      </c>
      <c r="CW1261">
        <v>0</v>
      </c>
      <c r="CX1261">
        <v>4</v>
      </c>
      <c r="CY1261">
        <v>7</v>
      </c>
      <c r="CZ1261" t="s">
        <v>131</v>
      </c>
      <c r="DA1261">
        <v>116</v>
      </c>
      <c r="DB1261">
        <v>0</v>
      </c>
      <c r="DC1261" t="s">
        <v>132</v>
      </c>
      <c r="DD1261" t="s">
        <v>133</v>
      </c>
      <c r="DG1261">
        <v>14799405</v>
      </c>
      <c r="DI1261">
        <v>0</v>
      </c>
      <c r="DJ1261">
        <v>1</v>
      </c>
      <c r="DK1261">
        <v>1</v>
      </c>
      <c r="DL1261">
        <v>0</v>
      </c>
      <c r="DM1261">
        <v>0</v>
      </c>
      <c r="DN1261">
        <v>0</v>
      </c>
      <c r="DO1261">
        <v>0</v>
      </c>
      <c r="DP1261">
        <v>1</v>
      </c>
      <c r="DQ1261">
        <v>0</v>
      </c>
      <c r="DR1261">
        <v>0</v>
      </c>
      <c r="DS1261">
        <v>1</v>
      </c>
    </row>
    <row r="1262" spans="1:123" x14ac:dyDescent="0.25">
      <c r="A1262" t="str">
        <f>"11/29/2023 20:28:36.774"</f>
        <v>11/29/2023 20:28:36.774</v>
      </c>
      <c r="C1262" t="str">
        <f t="shared" si="140"/>
        <v>FFDF53C0</v>
      </c>
      <c r="D1262" t="s">
        <v>123</v>
      </c>
      <c r="E1262">
        <v>14</v>
      </c>
      <c r="F1262">
        <v>1014</v>
      </c>
      <c r="G1262" t="s">
        <v>124</v>
      </c>
      <c r="J1262" t="s">
        <v>125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>"20:28:36.375"</f>
        <v>20:28:36.375</v>
      </c>
      <c r="T1262" t="str">
        <f>"20:28:36.075"</f>
        <v>20:28:36.075</v>
      </c>
      <c r="U1262" t="str">
        <f t="shared" si="138"/>
        <v>AA0632</v>
      </c>
      <c r="V1262">
        <v>0</v>
      </c>
      <c r="W1262">
        <v>0</v>
      </c>
      <c r="X1262">
        <v>2</v>
      </c>
      <c r="Y1262">
        <v>0</v>
      </c>
      <c r="AA1262">
        <v>0</v>
      </c>
      <c r="AB1262">
        <v>9</v>
      </c>
      <c r="AC1262">
        <v>3</v>
      </c>
      <c r="AD1262">
        <v>0</v>
      </c>
      <c r="AE1262">
        <v>10</v>
      </c>
      <c r="AF1262" t="s">
        <v>126</v>
      </c>
      <c r="AG1262">
        <v>0</v>
      </c>
      <c r="AH1262">
        <v>0</v>
      </c>
      <c r="AI1262">
        <v>2</v>
      </c>
      <c r="AJ1262">
        <v>0</v>
      </c>
      <c r="AK1262" t="s">
        <v>500</v>
      </c>
      <c r="AL1262">
        <v>31.923480000000001</v>
      </c>
      <c r="AM1262" t="s">
        <v>631</v>
      </c>
      <c r="AN1262">
        <v>-100.969291</v>
      </c>
      <c r="AQ1262" t="s">
        <v>129</v>
      </c>
      <c r="AR1262">
        <v>0</v>
      </c>
      <c r="AS1262">
        <v>0</v>
      </c>
      <c r="AT1262">
        <v>0</v>
      </c>
      <c r="BB1262" t="str">
        <f t="shared" si="139"/>
        <v>1200</v>
      </c>
      <c r="BC1262">
        <v>1</v>
      </c>
      <c r="BD1262" t="str">
        <f t="shared" si="141"/>
        <v xml:space="preserve">N745MB  </v>
      </c>
      <c r="BE1262">
        <v>1</v>
      </c>
      <c r="BG1262">
        <v>0</v>
      </c>
      <c r="BH1262">
        <v>0</v>
      </c>
      <c r="BI1262">
        <v>0</v>
      </c>
      <c r="BL1262" t="s">
        <v>130</v>
      </c>
      <c r="BM1262">
        <v>1</v>
      </c>
      <c r="BN1262">
        <v>0</v>
      </c>
      <c r="BO1262">
        <v>0</v>
      </c>
      <c r="BP1262">
        <v>0</v>
      </c>
      <c r="BT1262">
        <v>0</v>
      </c>
      <c r="BU1262">
        <v>0</v>
      </c>
      <c r="CE1262" t="str">
        <f>"20:28:36.380"</f>
        <v>20:28:36.380</v>
      </c>
      <c r="CF1262">
        <v>379748760</v>
      </c>
      <c r="CS1262">
        <v>0</v>
      </c>
      <c r="CT1262">
        <v>2</v>
      </c>
      <c r="CU1262">
        <v>0</v>
      </c>
      <c r="CV1262">
        <v>2</v>
      </c>
      <c r="CW1262">
        <v>0</v>
      </c>
      <c r="CX1262">
        <v>4</v>
      </c>
      <c r="CY1262">
        <v>7</v>
      </c>
      <c r="CZ1262" t="s">
        <v>131</v>
      </c>
      <c r="DA1262">
        <v>116</v>
      </c>
      <c r="DB1262">
        <v>0</v>
      </c>
      <c r="DC1262" t="s">
        <v>132</v>
      </c>
      <c r="DD1262" t="s">
        <v>133</v>
      </c>
      <c r="DG1262">
        <v>14800625</v>
      </c>
      <c r="DI1262">
        <v>0</v>
      </c>
      <c r="DJ1262">
        <v>1</v>
      </c>
      <c r="DK1262">
        <v>0</v>
      </c>
      <c r="DL1262">
        <v>0</v>
      </c>
      <c r="DM1262">
        <v>0</v>
      </c>
      <c r="DN1262">
        <v>0</v>
      </c>
      <c r="DO1262">
        <v>0</v>
      </c>
      <c r="DP1262">
        <v>1</v>
      </c>
      <c r="DQ1262">
        <v>0</v>
      </c>
      <c r="DR1262">
        <v>0</v>
      </c>
      <c r="DS1262">
        <v>1</v>
      </c>
    </row>
    <row r="1263" spans="1:123" x14ac:dyDescent="0.25">
      <c r="A1263" t="str">
        <f>"11/29/2023 20:28:36.884"</f>
        <v>11/29/2023 20:28:36.884</v>
      </c>
      <c r="C1263" t="str">
        <f t="shared" si="140"/>
        <v>FFDF53C0</v>
      </c>
      <c r="D1263" t="s">
        <v>138</v>
      </c>
      <c r="E1263">
        <v>3</v>
      </c>
      <c r="H1263">
        <v>160</v>
      </c>
      <c r="I1263" t="s">
        <v>124</v>
      </c>
      <c r="J1263" t="s">
        <v>139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>"20:28:36.375"</f>
        <v>20:28:36.375</v>
      </c>
      <c r="T1263" t="str">
        <f>"20:28:36.075"</f>
        <v>20:28:36.075</v>
      </c>
      <c r="U1263" t="str">
        <f t="shared" si="138"/>
        <v>AA0632</v>
      </c>
      <c r="V1263">
        <v>0</v>
      </c>
      <c r="W1263">
        <v>0</v>
      </c>
      <c r="X1263">
        <v>2</v>
      </c>
      <c r="Y1263">
        <v>0</v>
      </c>
      <c r="AA1263">
        <v>0</v>
      </c>
      <c r="AB1263">
        <v>9</v>
      </c>
      <c r="AC1263">
        <v>3</v>
      </c>
      <c r="AD1263">
        <v>0</v>
      </c>
      <c r="AE1263">
        <v>10</v>
      </c>
      <c r="AF1263" t="s">
        <v>126</v>
      </c>
      <c r="AG1263">
        <v>0</v>
      </c>
      <c r="AH1263">
        <v>0</v>
      </c>
      <c r="AI1263">
        <v>2</v>
      </c>
      <c r="AJ1263">
        <v>0</v>
      </c>
      <c r="AK1263" t="s">
        <v>500</v>
      </c>
      <c r="AL1263">
        <v>31.923480000000001</v>
      </c>
      <c r="AM1263" t="s">
        <v>631</v>
      </c>
      <c r="AN1263">
        <v>-100.969291</v>
      </c>
      <c r="AQ1263" t="s">
        <v>129</v>
      </c>
      <c r="AR1263">
        <v>0</v>
      </c>
      <c r="AS1263">
        <v>0</v>
      </c>
      <c r="AT1263">
        <v>0</v>
      </c>
      <c r="BB1263" t="str">
        <f t="shared" si="139"/>
        <v>1200</v>
      </c>
      <c r="BC1263">
        <v>1</v>
      </c>
      <c r="BD1263" t="str">
        <f t="shared" si="141"/>
        <v xml:space="preserve">N745MB  </v>
      </c>
      <c r="BE1263">
        <v>1</v>
      </c>
      <c r="BG1263">
        <v>0</v>
      </c>
      <c r="BH1263">
        <v>0</v>
      </c>
      <c r="BI1263">
        <v>0</v>
      </c>
      <c r="BL1263" t="s">
        <v>130</v>
      </c>
      <c r="BM1263">
        <v>1</v>
      </c>
      <c r="BN1263">
        <v>0</v>
      </c>
      <c r="BO1263">
        <v>0</v>
      </c>
      <c r="BP1263">
        <v>0</v>
      </c>
      <c r="BT1263">
        <v>0</v>
      </c>
      <c r="BU1263">
        <v>0</v>
      </c>
      <c r="CE1263" t="str">
        <f>"20:28:36.380"</f>
        <v>20:28:36.380</v>
      </c>
      <c r="CF1263">
        <v>379748760</v>
      </c>
      <c r="CS1263">
        <v>0</v>
      </c>
      <c r="CT1263">
        <v>2</v>
      </c>
      <c r="CU1263">
        <v>0</v>
      </c>
      <c r="CV1263">
        <v>2</v>
      </c>
      <c r="CW1263">
        <v>0</v>
      </c>
      <c r="CX1263">
        <v>4</v>
      </c>
      <c r="CY1263">
        <v>7</v>
      </c>
      <c r="CZ1263" t="s">
        <v>131</v>
      </c>
      <c r="DA1263">
        <v>116</v>
      </c>
      <c r="DB1263">
        <v>0</v>
      </c>
      <c r="DC1263" t="s">
        <v>132</v>
      </c>
      <c r="DD1263" t="s">
        <v>133</v>
      </c>
      <c r="DG1263">
        <v>14800625</v>
      </c>
      <c r="DI1263">
        <v>0</v>
      </c>
      <c r="DJ1263">
        <v>1</v>
      </c>
      <c r="DK1263">
        <v>1</v>
      </c>
      <c r="DL1263">
        <v>0</v>
      </c>
      <c r="DM1263">
        <v>0</v>
      </c>
      <c r="DN1263">
        <v>0</v>
      </c>
      <c r="DO1263">
        <v>0</v>
      </c>
      <c r="DP1263">
        <v>1</v>
      </c>
      <c r="DQ1263">
        <v>0</v>
      </c>
      <c r="DR1263">
        <v>0</v>
      </c>
      <c r="DS1263">
        <v>1</v>
      </c>
    </row>
    <row r="1264" spans="1:123" x14ac:dyDescent="0.25">
      <c r="A1264" t="str">
        <f>"11/29/2023 20:28:36.915"</f>
        <v>11/29/2023 20:28:36.915</v>
      </c>
      <c r="C1264" t="str">
        <f t="shared" si="140"/>
        <v>FFDF53C0</v>
      </c>
      <c r="D1264" t="s">
        <v>135</v>
      </c>
      <c r="E1264">
        <v>31</v>
      </c>
      <c r="H1264">
        <v>285</v>
      </c>
      <c r="I1264" t="s">
        <v>136</v>
      </c>
      <c r="J1264" t="s">
        <v>137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>"20:28:36.375"</f>
        <v>20:28:36.375</v>
      </c>
      <c r="T1264" t="str">
        <f>"20:28:36.075"</f>
        <v>20:28:36.075</v>
      </c>
      <c r="U1264" t="str">
        <f t="shared" si="138"/>
        <v>AA0632</v>
      </c>
      <c r="V1264">
        <v>0</v>
      </c>
      <c r="W1264">
        <v>0</v>
      </c>
      <c r="X1264">
        <v>2</v>
      </c>
      <c r="Y1264">
        <v>0</v>
      </c>
      <c r="AA1264">
        <v>0</v>
      </c>
      <c r="AB1264">
        <v>9</v>
      </c>
      <c r="AC1264">
        <v>3</v>
      </c>
      <c r="AD1264">
        <v>0</v>
      </c>
      <c r="AE1264">
        <v>10</v>
      </c>
      <c r="AF1264" t="s">
        <v>126</v>
      </c>
      <c r="AG1264">
        <v>0</v>
      </c>
      <c r="AH1264">
        <v>0</v>
      </c>
      <c r="AI1264">
        <v>2</v>
      </c>
      <c r="AJ1264">
        <v>0</v>
      </c>
      <c r="AK1264" t="s">
        <v>500</v>
      </c>
      <c r="AL1264">
        <v>31.923480000000001</v>
      </c>
      <c r="AM1264" t="s">
        <v>631</v>
      </c>
      <c r="AN1264">
        <v>-100.969291</v>
      </c>
      <c r="AQ1264" t="s">
        <v>129</v>
      </c>
      <c r="AR1264">
        <v>0</v>
      </c>
      <c r="AS1264">
        <v>0</v>
      </c>
      <c r="AT1264">
        <v>0</v>
      </c>
      <c r="BB1264" t="str">
        <f t="shared" si="139"/>
        <v>1200</v>
      </c>
      <c r="BC1264">
        <v>1</v>
      </c>
      <c r="BD1264" t="str">
        <f t="shared" si="141"/>
        <v xml:space="preserve">N745MB  </v>
      </c>
      <c r="BE1264">
        <v>1</v>
      </c>
      <c r="BG1264">
        <v>0</v>
      </c>
      <c r="BH1264">
        <v>0</v>
      </c>
      <c r="BI1264">
        <v>0</v>
      </c>
      <c r="BL1264" t="s">
        <v>130</v>
      </c>
      <c r="BM1264">
        <v>1</v>
      </c>
      <c r="BN1264">
        <v>0</v>
      </c>
      <c r="BO1264">
        <v>0</v>
      </c>
      <c r="BP1264">
        <v>0</v>
      </c>
      <c r="BT1264">
        <v>0</v>
      </c>
      <c r="BU1264">
        <v>0</v>
      </c>
      <c r="CE1264" t="str">
        <f>"20:28:36.380"</f>
        <v>20:28:36.380</v>
      </c>
      <c r="CF1264">
        <v>379748760</v>
      </c>
      <c r="CS1264">
        <v>0</v>
      </c>
      <c r="CT1264">
        <v>2</v>
      </c>
      <c r="CU1264">
        <v>0</v>
      </c>
      <c r="CV1264">
        <v>2</v>
      </c>
      <c r="CW1264">
        <v>0</v>
      </c>
      <c r="CX1264">
        <v>4</v>
      </c>
      <c r="CY1264">
        <v>7</v>
      </c>
      <c r="CZ1264" t="s">
        <v>131</v>
      </c>
      <c r="DA1264">
        <v>116</v>
      </c>
      <c r="DB1264">
        <v>0</v>
      </c>
      <c r="DC1264" t="s">
        <v>132</v>
      </c>
      <c r="DD1264" t="s">
        <v>133</v>
      </c>
      <c r="DG1264">
        <v>14800625</v>
      </c>
      <c r="DI1264">
        <v>0</v>
      </c>
      <c r="DJ1264">
        <v>1</v>
      </c>
      <c r="DK1264">
        <v>1</v>
      </c>
      <c r="DL1264">
        <v>0</v>
      </c>
      <c r="DM1264">
        <v>0</v>
      </c>
      <c r="DN1264">
        <v>0</v>
      </c>
      <c r="DO1264">
        <v>0</v>
      </c>
      <c r="DP1264">
        <v>1</v>
      </c>
      <c r="DQ1264">
        <v>0</v>
      </c>
      <c r="DR1264">
        <v>0</v>
      </c>
      <c r="DS1264">
        <v>1</v>
      </c>
    </row>
    <row r="1265" spans="1:123" x14ac:dyDescent="0.25">
      <c r="A1265" t="str">
        <f>"11/29/2023 20:28:36.915"</f>
        <v>11/29/2023 20:28:36.915</v>
      </c>
      <c r="C1265" t="str">
        <f t="shared" si="140"/>
        <v>FFDF53C0</v>
      </c>
      <c r="D1265" t="s">
        <v>123</v>
      </c>
      <c r="E1265">
        <v>1</v>
      </c>
      <c r="F1265">
        <v>1001</v>
      </c>
      <c r="G1265" t="s">
        <v>134</v>
      </c>
      <c r="J1265" t="s">
        <v>125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>"20:28:36.375"</f>
        <v>20:28:36.375</v>
      </c>
      <c r="T1265" t="str">
        <f>"20:28:36.075"</f>
        <v>20:28:36.075</v>
      </c>
      <c r="U1265" t="str">
        <f t="shared" si="138"/>
        <v>AA0632</v>
      </c>
      <c r="V1265">
        <v>0</v>
      </c>
      <c r="W1265">
        <v>0</v>
      </c>
      <c r="X1265">
        <v>2</v>
      </c>
      <c r="Y1265">
        <v>0</v>
      </c>
      <c r="AA1265">
        <v>0</v>
      </c>
      <c r="AB1265">
        <v>9</v>
      </c>
      <c r="AC1265">
        <v>3</v>
      </c>
      <c r="AD1265">
        <v>0</v>
      </c>
      <c r="AE1265">
        <v>10</v>
      </c>
      <c r="AF1265" t="s">
        <v>126</v>
      </c>
      <c r="AG1265">
        <v>0</v>
      </c>
      <c r="AH1265">
        <v>0</v>
      </c>
      <c r="AI1265">
        <v>2</v>
      </c>
      <c r="AJ1265">
        <v>0</v>
      </c>
      <c r="AK1265" t="s">
        <v>500</v>
      </c>
      <c r="AL1265">
        <v>31.923480000000001</v>
      </c>
      <c r="AM1265" t="s">
        <v>631</v>
      </c>
      <c r="AN1265">
        <v>-100.969291</v>
      </c>
      <c r="AQ1265" t="s">
        <v>129</v>
      </c>
      <c r="AR1265">
        <v>0</v>
      </c>
      <c r="AS1265">
        <v>0</v>
      </c>
      <c r="AT1265">
        <v>0</v>
      </c>
      <c r="BB1265" t="str">
        <f t="shared" si="139"/>
        <v>1200</v>
      </c>
      <c r="BC1265">
        <v>1</v>
      </c>
      <c r="BD1265" t="str">
        <f t="shared" si="141"/>
        <v xml:space="preserve">N745MB  </v>
      </c>
      <c r="BE1265">
        <v>1</v>
      </c>
      <c r="BG1265">
        <v>0</v>
      </c>
      <c r="BH1265">
        <v>0</v>
      </c>
      <c r="BI1265">
        <v>0</v>
      </c>
      <c r="BL1265" t="s">
        <v>130</v>
      </c>
      <c r="BM1265">
        <v>1</v>
      </c>
      <c r="BN1265">
        <v>0</v>
      </c>
      <c r="BO1265">
        <v>0</v>
      </c>
      <c r="BP1265">
        <v>0</v>
      </c>
      <c r="BT1265">
        <v>0</v>
      </c>
      <c r="BU1265">
        <v>0</v>
      </c>
      <c r="CE1265" t="str">
        <f>"20:28:36.380"</f>
        <v>20:28:36.380</v>
      </c>
      <c r="CF1265">
        <v>379748760</v>
      </c>
      <c r="CS1265">
        <v>0</v>
      </c>
      <c r="CT1265">
        <v>2</v>
      </c>
      <c r="CU1265">
        <v>0</v>
      </c>
      <c r="CV1265">
        <v>2</v>
      </c>
      <c r="CW1265">
        <v>0</v>
      </c>
      <c r="CX1265">
        <v>4</v>
      </c>
      <c r="CY1265">
        <v>7</v>
      </c>
      <c r="CZ1265" t="s">
        <v>131</v>
      </c>
      <c r="DA1265">
        <v>116</v>
      </c>
      <c r="DB1265">
        <v>0</v>
      </c>
      <c r="DC1265" t="s">
        <v>132</v>
      </c>
      <c r="DD1265" t="s">
        <v>133</v>
      </c>
      <c r="DG1265">
        <v>14800625</v>
      </c>
      <c r="DI1265">
        <v>0</v>
      </c>
      <c r="DJ1265">
        <v>1</v>
      </c>
      <c r="DK1265">
        <v>1</v>
      </c>
      <c r="DL1265">
        <v>0</v>
      </c>
      <c r="DM1265">
        <v>0</v>
      </c>
      <c r="DN1265">
        <v>0</v>
      </c>
      <c r="DO1265">
        <v>0</v>
      </c>
      <c r="DP1265">
        <v>1</v>
      </c>
      <c r="DQ1265">
        <v>0</v>
      </c>
      <c r="DR1265">
        <v>0</v>
      </c>
      <c r="DS1265">
        <v>1</v>
      </c>
    </row>
    <row r="1266" spans="1:123" x14ac:dyDescent="0.25">
      <c r="A1266" t="str">
        <f>"11/29/2023 20:28:37.821"</f>
        <v>11/29/2023 20:28:37.821</v>
      </c>
      <c r="C1266" t="str">
        <f t="shared" si="140"/>
        <v>FFDF53C0</v>
      </c>
      <c r="D1266" t="s">
        <v>135</v>
      </c>
      <c r="E1266">
        <v>31</v>
      </c>
      <c r="H1266">
        <v>285</v>
      </c>
      <c r="I1266" t="s">
        <v>136</v>
      </c>
      <c r="J1266" t="s">
        <v>137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>"20:28:37.500"</f>
        <v>20:28:37.500</v>
      </c>
      <c r="T1266" t="str">
        <f>"20:28:37.100"</f>
        <v>20:28:37.100</v>
      </c>
      <c r="U1266" t="str">
        <f t="shared" si="138"/>
        <v>AA0632</v>
      </c>
      <c r="V1266">
        <v>0</v>
      </c>
      <c r="W1266">
        <v>0</v>
      </c>
      <c r="X1266">
        <v>2</v>
      </c>
      <c r="Y1266">
        <v>0</v>
      </c>
      <c r="AA1266">
        <v>0</v>
      </c>
      <c r="AB1266">
        <v>9</v>
      </c>
      <c r="AC1266">
        <v>3</v>
      </c>
      <c r="AD1266">
        <v>0</v>
      </c>
      <c r="AE1266">
        <v>10</v>
      </c>
      <c r="AF1266" t="s">
        <v>126</v>
      </c>
      <c r="AG1266">
        <v>0</v>
      </c>
      <c r="AH1266">
        <v>0</v>
      </c>
      <c r="AI1266">
        <v>2</v>
      </c>
      <c r="AJ1266">
        <v>0</v>
      </c>
      <c r="AK1266" t="s">
        <v>500</v>
      </c>
      <c r="AL1266">
        <v>31.923480000000001</v>
      </c>
      <c r="AM1266" t="s">
        <v>631</v>
      </c>
      <c r="AN1266">
        <v>-100.969291</v>
      </c>
      <c r="AQ1266" t="s">
        <v>129</v>
      </c>
      <c r="AR1266">
        <v>0</v>
      </c>
      <c r="AS1266">
        <v>0</v>
      </c>
      <c r="AT1266">
        <v>0</v>
      </c>
      <c r="BB1266" t="str">
        <f t="shared" si="139"/>
        <v>1200</v>
      </c>
      <c r="BC1266">
        <v>1</v>
      </c>
      <c r="BD1266" t="str">
        <f t="shared" si="141"/>
        <v xml:space="preserve">N745MB  </v>
      </c>
      <c r="BE1266">
        <v>1</v>
      </c>
      <c r="BG1266">
        <v>0</v>
      </c>
      <c r="BH1266">
        <v>0</v>
      </c>
      <c r="BI1266">
        <v>0</v>
      </c>
      <c r="BL1266" t="s">
        <v>130</v>
      </c>
      <c r="BM1266">
        <v>1</v>
      </c>
      <c r="BN1266">
        <v>0</v>
      </c>
      <c r="BO1266">
        <v>0</v>
      </c>
      <c r="BP1266">
        <v>0</v>
      </c>
      <c r="BT1266">
        <v>0</v>
      </c>
      <c r="BU1266">
        <v>0</v>
      </c>
      <c r="CE1266" t="str">
        <f>"20:28:37.502"</f>
        <v>20:28:37.502</v>
      </c>
      <c r="CF1266">
        <v>501678536</v>
      </c>
      <c r="CS1266">
        <v>0</v>
      </c>
      <c r="CT1266">
        <v>2</v>
      </c>
      <c r="CU1266">
        <v>0</v>
      </c>
      <c r="CV1266">
        <v>2</v>
      </c>
      <c r="CW1266">
        <v>0</v>
      </c>
      <c r="CX1266">
        <v>4</v>
      </c>
      <c r="CY1266">
        <v>7</v>
      </c>
      <c r="CZ1266" t="s">
        <v>131</v>
      </c>
      <c r="DA1266">
        <v>116</v>
      </c>
      <c r="DB1266">
        <v>0</v>
      </c>
      <c r="DC1266" t="s">
        <v>132</v>
      </c>
      <c r="DD1266" t="s">
        <v>133</v>
      </c>
      <c r="DG1266">
        <v>14801484</v>
      </c>
      <c r="DI1266">
        <v>0</v>
      </c>
      <c r="DJ1266">
        <v>1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1</v>
      </c>
      <c r="DQ1266">
        <v>0</v>
      </c>
      <c r="DR1266">
        <v>0</v>
      </c>
      <c r="DS1266">
        <v>1</v>
      </c>
    </row>
    <row r="1267" spans="1:123" x14ac:dyDescent="0.25">
      <c r="A1267" t="str">
        <f>"11/29/2023 20:28:37.821"</f>
        <v>11/29/2023 20:28:37.821</v>
      </c>
      <c r="C1267" t="str">
        <f t="shared" si="140"/>
        <v>FFDF53C0</v>
      </c>
      <c r="D1267" t="s">
        <v>123</v>
      </c>
      <c r="E1267">
        <v>14</v>
      </c>
      <c r="F1267">
        <v>1014</v>
      </c>
      <c r="G1267" t="s">
        <v>124</v>
      </c>
      <c r="J1267" t="s">
        <v>125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>"20:28:37.500"</f>
        <v>20:28:37.500</v>
      </c>
      <c r="T1267" t="str">
        <f>"20:28:37.100"</f>
        <v>20:28:37.100</v>
      </c>
      <c r="U1267" t="str">
        <f t="shared" si="138"/>
        <v>AA0632</v>
      </c>
      <c r="V1267">
        <v>0</v>
      </c>
      <c r="W1267">
        <v>0</v>
      </c>
      <c r="X1267">
        <v>2</v>
      </c>
      <c r="Y1267">
        <v>0</v>
      </c>
      <c r="AA1267">
        <v>0</v>
      </c>
      <c r="AB1267">
        <v>9</v>
      </c>
      <c r="AC1267">
        <v>3</v>
      </c>
      <c r="AD1267">
        <v>0</v>
      </c>
      <c r="AE1267">
        <v>10</v>
      </c>
      <c r="AF1267" t="s">
        <v>126</v>
      </c>
      <c r="AG1267">
        <v>0</v>
      </c>
      <c r="AH1267">
        <v>0</v>
      </c>
      <c r="AI1267">
        <v>2</v>
      </c>
      <c r="AJ1267">
        <v>0</v>
      </c>
      <c r="AK1267" t="s">
        <v>500</v>
      </c>
      <c r="AL1267">
        <v>31.923480000000001</v>
      </c>
      <c r="AM1267" t="s">
        <v>631</v>
      </c>
      <c r="AN1267">
        <v>-100.969291</v>
      </c>
      <c r="AQ1267" t="s">
        <v>129</v>
      </c>
      <c r="AR1267">
        <v>0</v>
      </c>
      <c r="AS1267">
        <v>0</v>
      </c>
      <c r="AT1267">
        <v>0</v>
      </c>
      <c r="BB1267" t="str">
        <f t="shared" si="139"/>
        <v>1200</v>
      </c>
      <c r="BC1267">
        <v>1</v>
      </c>
      <c r="BD1267" t="str">
        <f t="shared" si="141"/>
        <v xml:space="preserve">N745MB  </v>
      </c>
      <c r="BE1267">
        <v>1</v>
      </c>
      <c r="BG1267">
        <v>0</v>
      </c>
      <c r="BH1267">
        <v>0</v>
      </c>
      <c r="BI1267">
        <v>0</v>
      </c>
      <c r="BL1267" t="s">
        <v>130</v>
      </c>
      <c r="BM1267">
        <v>1</v>
      </c>
      <c r="BN1267">
        <v>0</v>
      </c>
      <c r="BO1267">
        <v>0</v>
      </c>
      <c r="BP1267">
        <v>0</v>
      </c>
      <c r="BT1267">
        <v>0</v>
      </c>
      <c r="BU1267">
        <v>0</v>
      </c>
      <c r="CE1267" t="str">
        <f>"20:28:37.502"</f>
        <v>20:28:37.502</v>
      </c>
      <c r="CF1267">
        <v>501678536</v>
      </c>
      <c r="CS1267">
        <v>0</v>
      </c>
      <c r="CT1267">
        <v>2</v>
      </c>
      <c r="CU1267">
        <v>0</v>
      </c>
      <c r="CV1267">
        <v>2</v>
      </c>
      <c r="CW1267">
        <v>0</v>
      </c>
      <c r="CX1267">
        <v>4</v>
      </c>
      <c r="CY1267">
        <v>7</v>
      </c>
      <c r="CZ1267" t="s">
        <v>131</v>
      </c>
      <c r="DA1267">
        <v>116</v>
      </c>
      <c r="DB1267">
        <v>0</v>
      </c>
      <c r="DC1267" t="s">
        <v>132</v>
      </c>
      <c r="DD1267" t="s">
        <v>133</v>
      </c>
      <c r="DG1267">
        <v>14801484</v>
      </c>
      <c r="DI1267">
        <v>0</v>
      </c>
      <c r="DJ1267">
        <v>1</v>
      </c>
      <c r="DK1267">
        <v>1</v>
      </c>
      <c r="DL1267">
        <v>0</v>
      </c>
      <c r="DM1267">
        <v>0</v>
      </c>
      <c r="DN1267">
        <v>0</v>
      </c>
      <c r="DO1267">
        <v>0</v>
      </c>
      <c r="DP1267">
        <v>1</v>
      </c>
      <c r="DQ1267">
        <v>0</v>
      </c>
      <c r="DR1267">
        <v>0</v>
      </c>
      <c r="DS1267">
        <v>1</v>
      </c>
    </row>
    <row r="1268" spans="1:123" x14ac:dyDescent="0.25">
      <c r="A1268" t="str">
        <f>"11/29/2023 20:28:37.821"</f>
        <v>11/29/2023 20:28:37.821</v>
      </c>
      <c r="C1268" t="str">
        <f t="shared" si="140"/>
        <v>FFDF53C0</v>
      </c>
      <c r="D1268" t="s">
        <v>123</v>
      </c>
      <c r="E1268">
        <v>1</v>
      </c>
      <c r="F1268">
        <v>1001</v>
      </c>
      <c r="G1268" t="s">
        <v>134</v>
      </c>
      <c r="J1268" t="s">
        <v>125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>"20:28:37.500"</f>
        <v>20:28:37.500</v>
      </c>
      <c r="T1268" t="str">
        <f>"20:28:37.100"</f>
        <v>20:28:37.100</v>
      </c>
      <c r="U1268" t="str">
        <f t="shared" si="138"/>
        <v>AA0632</v>
      </c>
      <c r="V1268">
        <v>0</v>
      </c>
      <c r="W1268">
        <v>0</v>
      </c>
      <c r="X1268">
        <v>2</v>
      </c>
      <c r="Y1268">
        <v>0</v>
      </c>
      <c r="AA1268">
        <v>0</v>
      </c>
      <c r="AB1268">
        <v>9</v>
      </c>
      <c r="AC1268">
        <v>3</v>
      </c>
      <c r="AD1268">
        <v>0</v>
      </c>
      <c r="AE1268">
        <v>10</v>
      </c>
      <c r="AF1268" t="s">
        <v>126</v>
      </c>
      <c r="AG1268">
        <v>0</v>
      </c>
      <c r="AH1268">
        <v>0</v>
      </c>
      <c r="AI1268">
        <v>2</v>
      </c>
      <c r="AJ1268">
        <v>0</v>
      </c>
      <c r="AK1268" t="s">
        <v>500</v>
      </c>
      <c r="AL1268">
        <v>31.923480000000001</v>
      </c>
      <c r="AM1268" t="s">
        <v>631</v>
      </c>
      <c r="AN1268">
        <v>-100.969291</v>
      </c>
      <c r="AQ1268" t="s">
        <v>129</v>
      </c>
      <c r="AR1268">
        <v>0</v>
      </c>
      <c r="AS1268">
        <v>0</v>
      </c>
      <c r="AT1268">
        <v>0</v>
      </c>
      <c r="BB1268" t="str">
        <f t="shared" si="139"/>
        <v>1200</v>
      </c>
      <c r="BC1268">
        <v>1</v>
      </c>
      <c r="BD1268" t="str">
        <f t="shared" si="141"/>
        <v xml:space="preserve">N745MB  </v>
      </c>
      <c r="BE1268">
        <v>1</v>
      </c>
      <c r="BG1268">
        <v>0</v>
      </c>
      <c r="BH1268">
        <v>0</v>
      </c>
      <c r="BI1268">
        <v>0</v>
      </c>
      <c r="BL1268" t="s">
        <v>130</v>
      </c>
      <c r="BM1268">
        <v>1</v>
      </c>
      <c r="BN1268">
        <v>0</v>
      </c>
      <c r="BO1268">
        <v>0</v>
      </c>
      <c r="BP1268">
        <v>0</v>
      </c>
      <c r="BT1268">
        <v>0</v>
      </c>
      <c r="BU1268">
        <v>0</v>
      </c>
      <c r="CE1268" t="str">
        <f>"20:28:37.502"</f>
        <v>20:28:37.502</v>
      </c>
      <c r="CF1268">
        <v>501678536</v>
      </c>
      <c r="CS1268">
        <v>0</v>
      </c>
      <c r="CT1268">
        <v>2</v>
      </c>
      <c r="CU1268">
        <v>0</v>
      </c>
      <c r="CV1268">
        <v>2</v>
      </c>
      <c r="CW1268">
        <v>0</v>
      </c>
      <c r="CX1268">
        <v>4</v>
      </c>
      <c r="CY1268">
        <v>7</v>
      </c>
      <c r="CZ1268" t="s">
        <v>131</v>
      </c>
      <c r="DA1268">
        <v>116</v>
      </c>
      <c r="DB1268">
        <v>0</v>
      </c>
      <c r="DC1268" t="s">
        <v>132</v>
      </c>
      <c r="DD1268" t="s">
        <v>133</v>
      </c>
      <c r="DG1268">
        <v>14801484</v>
      </c>
      <c r="DI1268">
        <v>0</v>
      </c>
      <c r="DJ1268">
        <v>1</v>
      </c>
      <c r="DK1268">
        <v>0</v>
      </c>
      <c r="DL1268">
        <v>0</v>
      </c>
      <c r="DM1268">
        <v>0</v>
      </c>
      <c r="DN1268">
        <v>0</v>
      </c>
      <c r="DO1268">
        <v>0</v>
      </c>
      <c r="DP1268">
        <v>1</v>
      </c>
      <c r="DQ1268">
        <v>0</v>
      </c>
      <c r="DR1268">
        <v>0</v>
      </c>
      <c r="DS1268">
        <v>1</v>
      </c>
    </row>
    <row r="1269" spans="1:123" x14ac:dyDescent="0.25">
      <c r="A1269" t="str">
        <f>"11/29/2023 20:28:37.821"</f>
        <v>11/29/2023 20:28:37.821</v>
      </c>
      <c r="C1269" t="str">
        <f t="shared" si="140"/>
        <v>FFDF53C0</v>
      </c>
      <c r="D1269" t="s">
        <v>138</v>
      </c>
      <c r="E1269">
        <v>3</v>
      </c>
      <c r="H1269">
        <v>160</v>
      </c>
      <c r="I1269" t="s">
        <v>124</v>
      </c>
      <c r="J1269" t="s">
        <v>139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>"20:28:37.500"</f>
        <v>20:28:37.500</v>
      </c>
      <c r="T1269" t="str">
        <f>"20:28:37.100"</f>
        <v>20:28:37.100</v>
      </c>
      <c r="U1269" t="str">
        <f t="shared" si="138"/>
        <v>AA0632</v>
      </c>
      <c r="V1269">
        <v>0</v>
      </c>
      <c r="W1269">
        <v>0</v>
      </c>
      <c r="X1269">
        <v>2</v>
      </c>
      <c r="Y1269">
        <v>0</v>
      </c>
      <c r="AA1269">
        <v>0</v>
      </c>
      <c r="AB1269">
        <v>9</v>
      </c>
      <c r="AC1269">
        <v>3</v>
      </c>
      <c r="AD1269">
        <v>0</v>
      </c>
      <c r="AE1269">
        <v>10</v>
      </c>
      <c r="AF1269" t="s">
        <v>126</v>
      </c>
      <c r="AG1269">
        <v>0</v>
      </c>
      <c r="AH1269">
        <v>0</v>
      </c>
      <c r="AI1269">
        <v>2</v>
      </c>
      <c r="AJ1269">
        <v>0</v>
      </c>
      <c r="AK1269" t="s">
        <v>500</v>
      </c>
      <c r="AL1269">
        <v>31.923480000000001</v>
      </c>
      <c r="AM1269" t="s">
        <v>631</v>
      </c>
      <c r="AN1269">
        <v>-100.969291</v>
      </c>
      <c r="AQ1269" t="s">
        <v>129</v>
      </c>
      <c r="AR1269">
        <v>0</v>
      </c>
      <c r="AS1269">
        <v>0</v>
      </c>
      <c r="AT1269">
        <v>0</v>
      </c>
      <c r="BB1269" t="str">
        <f t="shared" si="139"/>
        <v>1200</v>
      </c>
      <c r="BC1269">
        <v>1</v>
      </c>
      <c r="BD1269" t="str">
        <f t="shared" si="141"/>
        <v xml:space="preserve">N745MB  </v>
      </c>
      <c r="BE1269">
        <v>1</v>
      </c>
      <c r="BG1269">
        <v>0</v>
      </c>
      <c r="BH1269">
        <v>0</v>
      </c>
      <c r="BI1269">
        <v>0</v>
      </c>
      <c r="BL1269" t="s">
        <v>130</v>
      </c>
      <c r="BM1269">
        <v>1</v>
      </c>
      <c r="BN1269">
        <v>0</v>
      </c>
      <c r="BO1269">
        <v>0</v>
      </c>
      <c r="BP1269">
        <v>0</v>
      </c>
      <c r="BT1269">
        <v>0</v>
      </c>
      <c r="BU1269">
        <v>0</v>
      </c>
      <c r="CE1269" t="str">
        <f>"20:28:37.502"</f>
        <v>20:28:37.502</v>
      </c>
      <c r="CF1269">
        <v>501678536</v>
      </c>
      <c r="CS1269">
        <v>0</v>
      </c>
      <c r="CT1269">
        <v>2</v>
      </c>
      <c r="CU1269">
        <v>0</v>
      </c>
      <c r="CV1269">
        <v>2</v>
      </c>
      <c r="CW1269">
        <v>0</v>
      </c>
      <c r="CX1269">
        <v>4</v>
      </c>
      <c r="CY1269">
        <v>7</v>
      </c>
      <c r="CZ1269" t="s">
        <v>131</v>
      </c>
      <c r="DA1269">
        <v>116</v>
      </c>
      <c r="DB1269">
        <v>0</v>
      </c>
      <c r="DC1269" t="s">
        <v>132</v>
      </c>
      <c r="DD1269" t="s">
        <v>133</v>
      </c>
      <c r="DG1269">
        <v>14801484</v>
      </c>
      <c r="DI1269">
        <v>0</v>
      </c>
      <c r="DJ1269">
        <v>1</v>
      </c>
      <c r="DK1269">
        <v>1</v>
      </c>
      <c r="DL1269">
        <v>0</v>
      </c>
      <c r="DM1269">
        <v>0</v>
      </c>
      <c r="DN1269">
        <v>0</v>
      </c>
      <c r="DO1269">
        <v>0</v>
      </c>
      <c r="DP1269">
        <v>1</v>
      </c>
      <c r="DQ1269">
        <v>0</v>
      </c>
      <c r="DR1269">
        <v>0</v>
      </c>
      <c r="DS1269">
        <v>1</v>
      </c>
    </row>
    <row r="1270" spans="1:123" x14ac:dyDescent="0.25">
      <c r="A1270" t="str">
        <f>"11/29/2023 20:28:39.540"</f>
        <v>11/29/2023 20:28:39.540</v>
      </c>
      <c r="C1270" t="str">
        <f t="shared" si="140"/>
        <v>FFDF53C0</v>
      </c>
      <c r="D1270" t="s">
        <v>123</v>
      </c>
      <c r="E1270">
        <v>14</v>
      </c>
      <c r="F1270">
        <v>1014</v>
      </c>
      <c r="G1270" t="s">
        <v>124</v>
      </c>
      <c r="J1270" t="s">
        <v>125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 t="shared" ref="S1270:T1273" si="142">"20:28:39.172"</f>
        <v>20:28:39.172</v>
      </c>
      <c r="T1270" t="str">
        <f t="shared" si="142"/>
        <v>20:28:39.172</v>
      </c>
      <c r="U1270" t="str">
        <f t="shared" si="138"/>
        <v>AA0632</v>
      </c>
      <c r="V1270">
        <v>0</v>
      </c>
      <c r="W1270">
        <v>0</v>
      </c>
      <c r="X1270">
        <v>2</v>
      </c>
      <c r="Y1270">
        <v>0</v>
      </c>
      <c r="AA1270">
        <v>0</v>
      </c>
      <c r="AB1270">
        <v>9</v>
      </c>
      <c r="AC1270">
        <v>3</v>
      </c>
      <c r="AD1270">
        <v>0</v>
      </c>
      <c r="AE1270">
        <v>10</v>
      </c>
      <c r="AF1270" t="s">
        <v>126</v>
      </c>
      <c r="AG1270">
        <v>0</v>
      </c>
      <c r="AH1270">
        <v>0</v>
      </c>
      <c r="AI1270">
        <v>2</v>
      </c>
      <c r="AJ1270">
        <v>0</v>
      </c>
      <c r="AK1270" t="s">
        <v>500</v>
      </c>
      <c r="AL1270">
        <v>31.923480000000001</v>
      </c>
      <c r="AM1270" t="s">
        <v>631</v>
      </c>
      <c r="AN1270">
        <v>-100.969291</v>
      </c>
      <c r="AQ1270" t="s">
        <v>129</v>
      </c>
      <c r="AR1270">
        <v>0</v>
      </c>
      <c r="AS1270">
        <v>0</v>
      </c>
      <c r="AT1270">
        <v>0</v>
      </c>
      <c r="BB1270" t="str">
        <f t="shared" si="139"/>
        <v>1200</v>
      </c>
      <c r="BC1270">
        <v>1</v>
      </c>
      <c r="BD1270" t="str">
        <f t="shared" si="141"/>
        <v xml:space="preserve">N745MB  </v>
      </c>
      <c r="BE1270">
        <v>1</v>
      </c>
      <c r="BG1270">
        <v>0</v>
      </c>
      <c r="BH1270">
        <v>0</v>
      </c>
      <c r="BI1270">
        <v>0</v>
      </c>
      <c r="BL1270" t="s">
        <v>130</v>
      </c>
      <c r="BM1270">
        <v>1</v>
      </c>
      <c r="BN1270">
        <v>0</v>
      </c>
      <c r="BO1270">
        <v>0</v>
      </c>
      <c r="BP1270">
        <v>0</v>
      </c>
      <c r="BT1270">
        <v>0</v>
      </c>
      <c r="BU1270">
        <v>0</v>
      </c>
      <c r="CE1270" t="str">
        <f>"20:28:39.178"</f>
        <v>20:28:39.178</v>
      </c>
      <c r="CF1270">
        <v>177561842</v>
      </c>
      <c r="CS1270">
        <v>0</v>
      </c>
      <c r="CT1270">
        <v>2</v>
      </c>
      <c r="CU1270">
        <v>0</v>
      </c>
      <c r="CV1270">
        <v>2</v>
      </c>
      <c r="CW1270">
        <v>0</v>
      </c>
      <c r="CX1270">
        <v>2</v>
      </c>
      <c r="CY1270">
        <v>7</v>
      </c>
      <c r="CZ1270" t="s">
        <v>131</v>
      </c>
      <c r="DA1270">
        <v>116</v>
      </c>
      <c r="DB1270">
        <v>3</v>
      </c>
      <c r="DC1270" t="s">
        <v>132</v>
      </c>
      <c r="DD1270" t="s">
        <v>133</v>
      </c>
      <c r="DG1270">
        <v>8495804</v>
      </c>
      <c r="DI1270">
        <v>0</v>
      </c>
      <c r="DJ1270">
        <v>1</v>
      </c>
      <c r="DK1270">
        <v>0</v>
      </c>
      <c r="DL1270">
        <v>0</v>
      </c>
      <c r="DM1270">
        <v>0</v>
      </c>
      <c r="DN1270">
        <v>0</v>
      </c>
      <c r="DO1270">
        <v>0</v>
      </c>
      <c r="DP1270">
        <v>1</v>
      </c>
      <c r="DQ1270">
        <v>0</v>
      </c>
      <c r="DR1270">
        <v>0</v>
      </c>
      <c r="DS1270">
        <v>1</v>
      </c>
    </row>
    <row r="1271" spans="1:123" x14ac:dyDescent="0.25">
      <c r="A1271" t="str">
        <f>"11/29/2023 20:28:39.540"</f>
        <v>11/29/2023 20:28:39.540</v>
      </c>
      <c r="C1271" t="str">
        <f t="shared" si="140"/>
        <v>FFDF53C0</v>
      </c>
      <c r="D1271" t="s">
        <v>123</v>
      </c>
      <c r="E1271">
        <v>1</v>
      </c>
      <c r="F1271">
        <v>1001</v>
      </c>
      <c r="G1271" t="s">
        <v>134</v>
      </c>
      <c r="J1271" t="s">
        <v>125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 t="shared" si="142"/>
        <v>20:28:39.172</v>
      </c>
      <c r="T1271" t="str">
        <f t="shared" si="142"/>
        <v>20:28:39.172</v>
      </c>
      <c r="U1271" t="str">
        <f t="shared" si="138"/>
        <v>AA0632</v>
      </c>
      <c r="V1271">
        <v>0</v>
      </c>
      <c r="W1271">
        <v>0</v>
      </c>
      <c r="X1271">
        <v>2</v>
      </c>
      <c r="Y1271">
        <v>0</v>
      </c>
      <c r="AA1271">
        <v>0</v>
      </c>
      <c r="AB1271">
        <v>9</v>
      </c>
      <c r="AC1271">
        <v>3</v>
      </c>
      <c r="AD1271">
        <v>0</v>
      </c>
      <c r="AE1271">
        <v>10</v>
      </c>
      <c r="AF1271" t="s">
        <v>126</v>
      </c>
      <c r="AG1271">
        <v>0</v>
      </c>
      <c r="AH1271">
        <v>0</v>
      </c>
      <c r="AI1271">
        <v>2</v>
      </c>
      <c r="AJ1271">
        <v>0</v>
      </c>
      <c r="AK1271" t="s">
        <v>500</v>
      </c>
      <c r="AL1271">
        <v>31.923480000000001</v>
      </c>
      <c r="AM1271" t="s">
        <v>631</v>
      </c>
      <c r="AN1271">
        <v>-100.969291</v>
      </c>
      <c r="AQ1271" t="s">
        <v>129</v>
      </c>
      <c r="AR1271">
        <v>0</v>
      </c>
      <c r="AS1271">
        <v>0</v>
      </c>
      <c r="AT1271">
        <v>0</v>
      </c>
      <c r="BB1271" t="str">
        <f t="shared" si="139"/>
        <v>1200</v>
      </c>
      <c r="BC1271">
        <v>1</v>
      </c>
      <c r="BD1271" t="str">
        <f t="shared" si="141"/>
        <v xml:space="preserve">N745MB  </v>
      </c>
      <c r="BE1271">
        <v>1</v>
      </c>
      <c r="BG1271">
        <v>0</v>
      </c>
      <c r="BH1271">
        <v>0</v>
      </c>
      <c r="BI1271">
        <v>0</v>
      </c>
      <c r="BL1271" t="s">
        <v>130</v>
      </c>
      <c r="BM1271">
        <v>1</v>
      </c>
      <c r="BN1271">
        <v>0</v>
      </c>
      <c r="BO1271">
        <v>0</v>
      </c>
      <c r="BP1271">
        <v>0</v>
      </c>
      <c r="BT1271">
        <v>0</v>
      </c>
      <c r="BU1271">
        <v>0</v>
      </c>
      <c r="CE1271" t="str">
        <f>"20:28:39.178"</f>
        <v>20:28:39.178</v>
      </c>
      <c r="CF1271">
        <v>177561842</v>
      </c>
      <c r="CS1271">
        <v>0</v>
      </c>
      <c r="CT1271">
        <v>2</v>
      </c>
      <c r="CU1271">
        <v>0</v>
      </c>
      <c r="CV1271">
        <v>2</v>
      </c>
      <c r="CW1271">
        <v>0</v>
      </c>
      <c r="CX1271">
        <v>2</v>
      </c>
      <c r="CY1271">
        <v>7</v>
      </c>
      <c r="CZ1271" t="s">
        <v>131</v>
      </c>
      <c r="DA1271">
        <v>116</v>
      </c>
      <c r="DB1271">
        <v>3</v>
      </c>
      <c r="DC1271" t="s">
        <v>132</v>
      </c>
      <c r="DD1271" t="s">
        <v>133</v>
      </c>
      <c r="DG1271">
        <v>8495804</v>
      </c>
      <c r="DI1271">
        <v>0</v>
      </c>
      <c r="DJ1271">
        <v>1</v>
      </c>
      <c r="DK1271">
        <v>1</v>
      </c>
      <c r="DL1271">
        <v>0</v>
      </c>
      <c r="DM1271">
        <v>0</v>
      </c>
      <c r="DN1271">
        <v>0</v>
      </c>
      <c r="DO1271">
        <v>0</v>
      </c>
      <c r="DP1271">
        <v>1</v>
      </c>
      <c r="DQ1271">
        <v>0</v>
      </c>
      <c r="DR1271">
        <v>0</v>
      </c>
      <c r="DS1271">
        <v>1</v>
      </c>
    </row>
    <row r="1272" spans="1:123" x14ac:dyDescent="0.25">
      <c r="A1272" t="str">
        <f>"11/29/2023 20:28:39.571"</f>
        <v>11/29/2023 20:28:39.571</v>
      </c>
      <c r="C1272" t="str">
        <f t="shared" si="140"/>
        <v>FFDF53C0</v>
      </c>
      <c r="D1272" t="s">
        <v>138</v>
      </c>
      <c r="E1272">
        <v>3</v>
      </c>
      <c r="H1272">
        <v>160</v>
      </c>
      <c r="I1272" t="s">
        <v>124</v>
      </c>
      <c r="J1272" t="s">
        <v>139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 t="shared" si="142"/>
        <v>20:28:39.172</v>
      </c>
      <c r="T1272" t="str">
        <f t="shared" si="142"/>
        <v>20:28:39.172</v>
      </c>
      <c r="U1272" t="str">
        <f t="shared" si="138"/>
        <v>AA0632</v>
      </c>
      <c r="V1272">
        <v>0</v>
      </c>
      <c r="W1272">
        <v>0</v>
      </c>
      <c r="X1272">
        <v>2</v>
      </c>
      <c r="Y1272">
        <v>0</v>
      </c>
      <c r="AA1272">
        <v>0</v>
      </c>
      <c r="AB1272">
        <v>9</v>
      </c>
      <c r="AC1272">
        <v>3</v>
      </c>
      <c r="AD1272">
        <v>0</v>
      </c>
      <c r="AE1272">
        <v>10</v>
      </c>
      <c r="AF1272" t="s">
        <v>126</v>
      </c>
      <c r="AG1272">
        <v>0</v>
      </c>
      <c r="AH1272">
        <v>0</v>
      </c>
      <c r="AI1272">
        <v>2</v>
      </c>
      <c r="AJ1272">
        <v>0</v>
      </c>
      <c r="AK1272" t="s">
        <v>500</v>
      </c>
      <c r="AL1272">
        <v>31.923480000000001</v>
      </c>
      <c r="AM1272" t="s">
        <v>631</v>
      </c>
      <c r="AN1272">
        <v>-100.969291</v>
      </c>
      <c r="AQ1272" t="s">
        <v>129</v>
      </c>
      <c r="AR1272">
        <v>0</v>
      </c>
      <c r="AS1272">
        <v>0</v>
      </c>
      <c r="AT1272">
        <v>0</v>
      </c>
      <c r="BB1272" t="str">
        <f t="shared" si="139"/>
        <v>1200</v>
      </c>
      <c r="BC1272">
        <v>1</v>
      </c>
      <c r="BD1272" t="str">
        <f t="shared" si="141"/>
        <v xml:space="preserve">N745MB  </v>
      </c>
      <c r="BE1272">
        <v>1</v>
      </c>
      <c r="BG1272">
        <v>0</v>
      </c>
      <c r="BH1272">
        <v>0</v>
      </c>
      <c r="BI1272">
        <v>0</v>
      </c>
      <c r="BL1272" t="s">
        <v>130</v>
      </c>
      <c r="BM1272">
        <v>1</v>
      </c>
      <c r="BN1272">
        <v>0</v>
      </c>
      <c r="BO1272">
        <v>0</v>
      </c>
      <c r="BP1272">
        <v>0</v>
      </c>
      <c r="BT1272">
        <v>0</v>
      </c>
      <c r="BU1272">
        <v>0</v>
      </c>
      <c r="CE1272" t="str">
        <f>"20:28:39.178"</f>
        <v>20:28:39.178</v>
      </c>
      <c r="CF1272">
        <v>177561842</v>
      </c>
      <c r="CS1272">
        <v>0</v>
      </c>
      <c r="CT1272">
        <v>2</v>
      </c>
      <c r="CU1272">
        <v>0</v>
      </c>
      <c r="CV1272">
        <v>2</v>
      </c>
      <c r="CW1272">
        <v>0</v>
      </c>
      <c r="CX1272">
        <v>2</v>
      </c>
      <c r="CY1272">
        <v>7</v>
      </c>
      <c r="CZ1272" t="s">
        <v>131</v>
      </c>
      <c r="DA1272">
        <v>116</v>
      </c>
      <c r="DB1272">
        <v>3</v>
      </c>
      <c r="DC1272" t="s">
        <v>132</v>
      </c>
      <c r="DD1272" t="s">
        <v>133</v>
      </c>
      <c r="DG1272">
        <v>8495804</v>
      </c>
      <c r="DI1272">
        <v>0</v>
      </c>
      <c r="DJ1272">
        <v>1</v>
      </c>
      <c r="DK1272">
        <v>1</v>
      </c>
      <c r="DL1272">
        <v>0</v>
      </c>
      <c r="DM1272">
        <v>0</v>
      </c>
      <c r="DN1272">
        <v>0</v>
      </c>
      <c r="DO1272">
        <v>0</v>
      </c>
      <c r="DP1272">
        <v>1</v>
      </c>
      <c r="DQ1272">
        <v>0</v>
      </c>
      <c r="DR1272">
        <v>0</v>
      </c>
      <c r="DS1272">
        <v>1</v>
      </c>
    </row>
    <row r="1273" spans="1:123" x14ac:dyDescent="0.25">
      <c r="A1273" t="str">
        <f>"11/29/2023 20:28:39.618"</f>
        <v>11/29/2023 20:28:39.618</v>
      </c>
      <c r="C1273" t="str">
        <f t="shared" si="140"/>
        <v>FFDF53C0</v>
      </c>
      <c r="D1273" t="s">
        <v>135</v>
      </c>
      <c r="E1273">
        <v>31</v>
      </c>
      <c r="H1273">
        <v>285</v>
      </c>
      <c r="I1273" t="s">
        <v>136</v>
      </c>
      <c r="J1273" t="s">
        <v>137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 t="shared" si="142"/>
        <v>20:28:39.172</v>
      </c>
      <c r="T1273" t="str">
        <f t="shared" si="142"/>
        <v>20:28:39.172</v>
      </c>
      <c r="U1273" t="str">
        <f t="shared" si="138"/>
        <v>AA0632</v>
      </c>
      <c r="V1273">
        <v>0</v>
      </c>
      <c r="W1273">
        <v>0</v>
      </c>
      <c r="X1273">
        <v>2</v>
      </c>
      <c r="Y1273">
        <v>0</v>
      </c>
      <c r="AA1273">
        <v>0</v>
      </c>
      <c r="AB1273">
        <v>9</v>
      </c>
      <c r="AC1273">
        <v>3</v>
      </c>
      <c r="AD1273">
        <v>0</v>
      </c>
      <c r="AE1273">
        <v>10</v>
      </c>
      <c r="AF1273" t="s">
        <v>126</v>
      </c>
      <c r="AG1273">
        <v>0</v>
      </c>
      <c r="AH1273">
        <v>0</v>
      </c>
      <c r="AI1273">
        <v>2</v>
      </c>
      <c r="AJ1273">
        <v>0</v>
      </c>
      <c r="AK1273" t="s">
        <v>500</v>
      </c>
      <c r="AL1273">
        <v>31.923480000000001</v>
      </c>
      <c r="AM1273" t="s">
        <v>631</v>
      </c>
      <c r="AN1273">
        <v>-100.969291</v>
      </c>
      <c r="AQ1273" t="s">
        <v>129</v>
      </c>
      <c r="AR1273">
        <v>0</v>
      </c>
      <c r="AS1273">
        <v>0</v>
      </c>
      <c r="AT1273">
        <v>0</v>
      </c>
      <c r="BB1273" t="str">
        <f t="shared" si="139"/>
        <v>1200</v>
      </c>
      <c r="BC1273">
        <v>1</v>
      </c>
      <c r="BD1273" t="str">
        <f t="shared" si="141"/>
        <v xml:space="preserve">N745MB  </v>
      </c>
      <c r="BE1273">
        <v>1</v>
      </c>
      <c r="BG1273">
        <v>0</v>
      </c>
      <c r="BH1273">
        <v>0</v>
      </c>
      <c r="BI1273">
        <v>0</v>
      </c>
      <c r="BL1273" t="s">
        <v>130</v>
      </c>
      <c r="BM1273">
        <v>1</v>
      </c>
      <c r="BN1273">
        <v>0</v>
      </c>
      <c r="BO1273">
        <v>0</v>
      </c>
      <c r="BP1273">
        <v>0</v>
      </c>
      <c r="BT1273">
        <v>0</v>
      </c>
      <c r="BU1273">
        <v>0</v>
      </c>
      <c r="CE1273" t="str">
        <f>"20:28:39.178"</f>
        <v>20:28:39.178</v>
      </c>
      <c r="CF1273">
        <v>177561842</v>
      </c>
      <c r="CS1273">
        <v>0</v>
      </c>
      <c r="CT1273">
        <v>2</v>
      </c>
      <c r="CU1273">
        <v>0</v>
      </c>
      <c r="CV1273">
        <v>2</v>
      </c>
      <c r="CW1273">
        <v>0</v>
      </c>
      <c r="CX1273">
        <v>2</v>
      </c>
      <c r="CY1273">
        <v>7</v>
      </c>
      <c r="CZ1273" t="s">
        <v>131</v>
      </c>
      <c r="DA1273">
        <v>116</v>
      </c>
      <c r="DB1273">
        <v>3</v>
      </c>
      <c r="DC1273" t="s">
        <v>132</v>
      </c>
      <c r="DD1273" t="s">
        <v>133</v>
      </c>
      <c r="DG1273">
        <v>8495804</v>
      </c>
      <c r="DI1273">
        <v>0</v>
      </c>
      <c r="DJ1273">
        <v>1</v>
      </c>
      <c r="DK1273">
        <v>1</v>
      </c>
      <c r="DL1273">
        <v>0</v>
      </c>
      <c r="DM1273">
        <v>0</v>
      </c>
      <c r="DN1273">
        <v>0</v>
      </c>
      <c r="DO1273">
        <v>0</v>
      </c>
      <c r="DP1273">
        <v>1</v>
      </c>
      <c r="DQ1273">
        <v>0</v>
      </c>
      <c r="DR1273">
        <v>0</v>
      </c>
      <c r="DS1273">
        <v>1</v>
      </c>
    </row>
    <row r="1274" spans="1:123" x14ac:dyDescent="0.25">
      <c r="A1274" t="str">
        <f>"11/29/2023 20:28:41.024"</f>
        <v>11/29/2023 20:28:41.024</v>
      </c>
      <c r="C1274" t="str">
        <f t="shared" si="140"/>
        <v>FFDF53C0</v>
      </c>
      <c r="D1274" t="s">
        <v>123</v>
      </c>
      <c r="E1274">
        <v>1</v>
      </c>
      <c r="F1274">
        <v>1001</v>
      </c>
      <c r="G1274" t="s">
        <v>134</v>
      </c>
      <c r="J1274" t="s">
        <v>125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>"20:28:40.648"</f>
        <v>20:28:40.648</v>
      </c>
      <c r="T1274" t="str">
        <f>"20:28:40.548"</f>
        <v>20:28:40.548</v>
      </c>
      <c r="U1274" t="str">
        <f t="shared" si="138"/>
        <v>AA0632</v>
      </c>
      <c r="V1274">
        <v>0</v>
      </c>
      <c r="W1274">
        <v>0</v>
      </c>
      <c r="X1274">
        <v>2</v>
      </c>
      <c r="Y1274">
        <v>0</v>
      </c>
      <c r="AA1274">
        <v>0</v>
      </c>
      <c r="AB1274">
        <v>9</v>
      </c>
      <c r="AC1274">
        <v>3</v>
      </c>
      <c r="AD1274">
        <v>0</v>
      </c>
      <c r="AE1274">
        <v>10</v>
      </c>
      <c r="AF1274" t="s">
        <v>126</v>
      </c>
      <c r="AG1274">
        <v>0</v>
      </c>
      <c r="AH1274">
        <v>0</v>
      </c>
      <c r="AI1274">
        <v>2</v>
      </c>
      <c r="AJ1274">
        <v>0</v>
      </c>
      <c r="AK1274" t="s">
        <v>500</v>
      </c>
      <c r="AL1274">
        <v>31.923480000000001</v>
      </c>
      <c r="AM1274" t="s">
        <v>631</v>
      </c>
      <c r="AN1274">
        <v>-100.969291</v>
      </c>
      <c r="AQ1274" t="s">
        <v>129</v>
      </c>
      <c r="AR1274">
        <v>0</v>
      </c>
      <c r="AS1274">
        <v>0</v>
      </c>
      <c r="AT1274">
        <v>0</v>
      </c>
      <c r="BB1274" t="str">
        <f t="shared" si="139"/>
        <v>1200</v>
      </c>
      <c r="BC1274">
        <v>1</v>
      </c>
      <c r="BD1274" t="str">
        <f t="shared" si="141"/>
        <v xml:space="preserve">N745MB  </v>
      </c>
      <c r="BE1274">
        <v>1</v>
      </c>
      <c r="BG1274">
        <v>0</v>
      </c>
      <c r="BH1274">
        <v>0</v>
      </c>
      <c r="BI1274">
        <v>0</v>
      </c>
      <c r="BL1274" t="s">
        <v>130</v>
      </c>
      <c r="BM1274">
        <v>1</v>
      </c>
      <c r="BN1274">
        <v>0</v>
      </c>
      <c r="BO1274">
        <v>0</v>
      </c>
      <c r="BP1274">
        <v>0</v>
      </c>
      <c r="BT1274">
        <v>0</v>
      </c>
      <c r="BU1274">
        <v>0</v>
      </c>
      <c r="CE1274" t="str">
        <f>"20:28:40.651"</f>
        <v>20:28:40.651</v>
      </c>
      <c r="CF1274">
        <v>651460586</v>
      </c>
      <c r="CS1274">
        <v>0</v>
      </c>
      <c r="CT1274">
        <v>2</v>
      </c>
      <c r="CU1274">
        <v>0</v>
      </c>
      <c r="CV1274">
        <v>2</v>
      </c>
      <c r="CW1274">
        <v>0</v>
      </c>
      <c r="CX1274">
        <v>4</v>
      </c>
      <c r="CY1274">
        <v>7</v>
      </c>
      <c r="CZ1274" t="s">
        <v>131</v>
      </c>
      <c r="DA1274">
        <v>116</v>
      </c>
      <c r="DB1274">
        <v>0</v>
      </c>
      <c r="DC1274" t="s">
        <v>132</v>
      </c>
      <c r="DD1274" t="s">
        <v>133</v>
      </c>
      <c r="DG1274">
        <v>14804060</v>
      </c>
      <c r="DI1274">
        <v>0</v>
      </c>
      <c r="DJ1274">
        <v>1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1</v>
      </c>
      <c r="DQ1274">
        <v>0</v>
      </c>
      <c r="DR1274">
        <v>0</v>
      </c>
      <c r="DS1274">
        <v>1</v>
      </c>
    </row>
    <row r="1275" spans="1:123" x14ac:dyDescent="0.25">
      <c r="A1275" t="str">
        <f>"11/29/2023 20:28:41.024"</f>
        <v>11/29/2023 20:28:41.024</v>
      </c>
      <c r="C1275" t="str">
        <f t="shared" si="140"/>
        <v>FFDF53C0</v>
      </c>
      <c r="D1275" t="s">
        <v>138</v>
      </c>
      <c r="E1275">
        <v>3</v>
      </c>
      <c r="H1275">
        <v>160</v>
      </c>
      <c r="I1275" t="s">
        <v>124</v>
      </c>
      <c r="J1275" t="s">
        <v>139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>"20:28:40.648"</f>
        <v>20:28:40.648</v>
      </c>
      <c r="T1275" t="str">
        <f>"20:28:40.548"</f>
        <v>20:28:40.548</v>
      </c>
      <c r="U1275" t="str">
        <f t="shared" si="138"/>
        <v>AA0632</v>
      </c>
      <c r="V1275">
        <v>0</v>
      </c>
      <c r="W1275">
        <v>0</v>
      </c>
      <c r="X1275">
        <v>2</v>
      </c>
      <c r="Y1275">
        <v>0</v>
      </c>
      <c r="AA1275">
        <v>0</v>
      </c>
      <c r="AB1275">
        <v>9</v>
      </c>
      <c r="AC1275">
        <v>3</v>
      </c>
      <c r="AD1275">
        <v>0</v>
      </c>
      <c r="AE1275">
        <v>10</v>
      </c>
      <c r="AF1275" t="s">
        <v>126</v>
      </c>
      <c r="AG1275">
        <v>0</v>
      </c>
      <c r="AH1275">
        <v>0</v>
      </c>
      <c r="AI1275">
        <v>2</v>
      </c>
      <c r="AJ1275">
        <v>0</v>
      </c>
      <c r="AK1275" t="s">
        <v>500</v>
      </c>
      <c r="AL1275">
        <v>31.923480000000001</v>
      </c>
      <c r="AM1275" t="s">
        <v>631</v>
      </c>
      <c r="AN1275">
        <v>-100.969291</v>
      </c>
      <c r="AQ1275" t="s">
        <v>129</v>
      </c>
      <c r="AR1275">
        <v>0</v>
      </c>
      <c r="AS1275">
        <v>0</v>
      </c>
      <c r="AT1275">
        <v>0</v>
      </c>
      <c r="BB1275" t="str">
        <f t="shared" si="139"/>
        <v>1200</v>
      </c>
      <c r="BC1275">
        <v>1</v>
      </c>
      <c r="BD1275" t="str">
        <f t="shared" si="141"/>
        <v xml:space="preserve">N745MB  </v>
      </c>
      <c r="BE1275">
        <v>1</v>
      </c>
      <c r="BG1275">
        <v>0</v>
      </c>
      <c r="BH1275">
        <v>0</v>
      </c>
      <c r="BI1275">
        <v>0</v>
      </c>
      <c r="BL1275" t="s">
        <v>130</v>
      </c>
      <c r="BM1275">
        <v>1</v>
      </c>
      <c r="BN1275">
        <v>0</v>
      </c>
      <c r="BO1275">
        <v>0</v>
      </c>
      <c r="BP1275">
        <v>0</v>
      </c>
      <c r="BT1275">
        <v>0</v>
      </c>
      <c r="BU1275">
        <v>0</v>
      </c>
      <c r="CE1275" t="str">
        <f>"20:28:40.651"</f>
        <v>20:28:40.651</v>
      </c>
      <c r="CF1275">
        <v>651460586</v>
      </c>
      <c r="CS1275">
        <v>0</v>
      </c>
      <c r="CT1275">
        <v>2</v>
      </c>
      <c r="CU1275">
        <v>0</v>
      </c>
      <c r="CV1275">
        <v>2</v>
      </c>
      <c r="CW1275">
        <v>0</v>
      </c>
      <c r="CX1275">
        <v>4</v>
      </c>
      <c r="CY1275">
        <v>7</v>
      </c>
      <c r="CZ1275" t="s">
        <v>131</v>
      </c>
      <c r="DA1275">
        <v>116</v>
      </c>
      <c r="DB1275">
        <v>0</v>
      </c>
      <c r="DC1275" t="s">
        <v>132</v>
      </c>
      <c r="DD1275" t="s">
        <v>133</v>
      </c>
      <c r="DG1275">
        <v>14804060</v>
      </c>
      <c r="DI1275">
        <v>0</v>
      </c>
      <c r="DJ1275">
        <v>1</v>
      </c>
      <c r="DK1275">
        <v>1</v>
      </c>
      <c r="DL1275">
        <v>0</v>
      </c>
      <c r="DM1275">
        <v>0</v>
      </c>
      <c r="DN1275">
        <v>0</v>
      </c>
      <c r="DO1275">
        <v>0</v>
      </c>
      <c r="DP1275">
        <v>1</v>
      </c>
      <c r="DQ1275">
        <v>0</v>
      </c>
      <c r="DR1275">
        <v>0</v>
      </c>
      <c r="DS1275">
        <v>1</v>
      </c>
    </row>
    <row r="1276" spans="1:123" x14ac:dyDescent="0.25">
      <c r="A1276" t="str">
        <f>"11/29/2023 20:28:41.024"</f>
        <v>11/29/2023 20:28:41.024</v>
      </c>
      <c r="C1276" t="str">
        <f t="shared" si="140"/>
        <v>FFDF53C0</v>
      </c>
      <c r="D1276" t="s">
        <v>135</v>
      </c>
      <c r="E1276">
        <v>31</v>
      </c>
      <c r="H1276">
        <v>285</v>
      </c>
      <c r="I1276" t="s">
        <v>136</v>
      </c>
      <c r="J1276" t="s">
        <v>137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>"20:28:40.648"</f>
        <v>20:28:40.648</v>
      </c>
      <c r="T1276" t="str">
        <f>"20:28:40.548"</f>
        <v>20:28:40.548</v>
      </c>
      <c r="U1276" t="str">
        <f t="shared" si="138"/>
        <v>AA0632</v>
      </c>
      <c r="V1276">
        <v>0</v>
      </c>
      <c r="W1276">
        <v>0</v>
      </c>
      <c r="X1276">
        <v>2</v>
      </c>
      <c r="Y1276">
        <v>0</v>
      </c>
      <c r="AA1276">
        <v>0</v>
      </c>
      <c r="AB1276">
        <v>9</v>
      </c>
      <c r="AC1276">
        <v>3</v>
      </c>
      <c r="AD1276">
        <v>0</v>
      </c>
      <c r="AE1276">
        <v>10</v>
      </c>
      <c r="AF1276" t="s">
        <v>126</v>
      </c>
      <c r="AG1276">
        <v>0</v>
      </c>
      <c r="AH1276">
        <v>0</v>
      </c>
      <c r="AI1276">
        <v>2</v>
      </c>
      <c r="AJ1276">
        <v>0</v>
      </c>
      <c r="AK1276" t="s">
        <v>500</v>
      </c>
      <c r="AL1276">
        <v>31.923480000000001</v>
      </c>
      <c r="AM1276" t="s">
        <v>631</v>
      </c>
      <c r="AN1276">
        <v>-100.969291</v>
      </c>
      <c r="AQ1276" t="s">
        <v>129</v>
      </c>
      <c r="AR1276">
        <v>0</v>
      </c>
      <c r="AS1276">
        <v>0</v>
      </c>
      <c r="AT1276">
        <v>0</v>
      </c>
      <c r="BB1276" t="str">
        <f t="shared" si="139"/>
        <v>1200</v>
      </c>
      <c r="BC1276">
        <v>1</v>
      </c>
      <c r="BD1276" t="str">
        <f t="shared" si="141"/>
        <v xml:space="preserve">N745MB  </v>
      </c>
      <c r="BE1276">
        <v>1</v>
      </c>
      <c r="BG1276">
        <v>0</v>
      </c>
      <c r="BH1276">
        <v>0</v>
      </c>
      <c r="BI1276">
        <v>0</v>
      </c>
      <c r="BL1276" t="s">
        <v>130</v>
      </c>
      <c r="BM1276">
        <v>1</v>
      </c>
      <c r="BN1276">
        <v>0</v>
      </c>
      <c r="BO1276">
        <v>0</v>
      </c>
      <c r="BP1276">
        <v>0</v>
      </c>
      <c r="BT1276">
        <v>0</v>
      </c>
      <c r="BU1276">
        <v>0</v>
      </c>
      <c r="CE1276" t="str">
        <f>"20:28:40.651"</f>
        <v>20:28:40.651</v>
      </c>
      <c r="CF1276">
        <v>651460586</v>
      </c>
      <c r="CS1276">
        <v>0</v>
      </c>
      <c r="CT1276">
        <v>2</v>
      </c>
      <c r="CU1276">
        <v>0</v>
      </c>
      <c r="CV1276">
        <v>2</v>
      </c>
      <c r="CW1276">
        <v>0</v>
      </c>
      <c r="CX1276">
        <v>4</v>
      </c>
      <c r="CY1276">
        <v>7</v>
      </c>
      <c r="CZ1276" t="s">
        <v>131</v>
      </c>
      <c r="DA1276">
        <v>116</v>
      </c>
      <c r="DB1276">
        <v>0</v>
      </c>
      <c r="DC1276" t="s">
        <v>132</v>
      </c>
      <c r="DD1276" t="s">
        <v>133</v>
      </c>
      <c r="DG1276">
        <v>14804060</v>
      </c>
      <c r="DI1276">
        <v>0</v>
      </c>
      <c r="DJ1276">
        <v>1</v>
      </c>
      <c r="DK1276">
        <v>1</v>
      </c>
      <c r="DL1276">
        <v>0</v>
      </c>
      <c r="DM1276">
        <v>0</v>
      </c>
      <c r="DN1276">
        <v>0</v>
      </c>
      <c r="DO1276">
        <v>0</v>
      </c>
      <c r="DP1276">
        <v>1</v>
      </c>
      <c r="DQ1276">
        <v>0</v>
      </c>
      <c r="DR1276">
        <v>0</v>
      </c>
      <c r="DS1276">
        <v>1</v>
      </c>
    </row>
    <row r="1277" spans="1:123" x14ac:dyDescent="0.25">
      <c r="A1277" t="str">
        <f>"11/29/2023 20:28:41.024"</f>
        <v>11/29/2023 20:28:41.024</v>
      </c>
      <c r="C1277" t="str">
        <f t="shared" si="140"/>
        <v>FFDF53C0</v>
      </c>
      <c r="D1277" t="s">
        <v>123</v>
      </c>
      <c r="E1277">
        <v>14</v>
      </c>
      <c r="F1277">
        <v>1014</v>
      </c>
      <c r="G1277" t="s">
        <v>124</v>
      </c>
      <c r="J1277" t="s">
        <v>125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>"20:28:40.648"</f>
        <v>20:28:40.648</v>
      </c>
      <c r="T1277" t="str">
        <f>"20:28:40.548"</f>
        <v>20:28:40.548</v>
      </c>
      <c r="U1277" t="str">
        <f t="shared" si="138"/>
        <v>AA0632</v>
      </c>
      <c r="V1277">
        <v>0</v>
      </c>
      <c r="W1277">
        <v>0</v>
      </c>
      <c r="X1277">
        <v>2</v>
      </c>
      <c r="Y1277">
        <v>0</v>
      </c>
      <c r="AA1277">
        <v>0</v>
      </c>
      <c r="AB1277">
        <v>9</v>
      </c>
      <c r="AC1277">
        <v>3</v>
      </c>
      <c r="AD1277">
        <v>0</v>
      </c>
      <c r="AE1277">
        <v>10</v>
      </c>
      <c r="AF1277" t="s">
        <v>126</v>
      </c>
      <c r="AG1277">
        <v>0</v>
      </c>
      <c r="AH1277">
        <v>0</v>
      </c>
      <c r="AI1277">
        <v>2</v>
      </c>
      <c r="AJ1277">
        <v>0</v>
      </c>
      <c r="AK1277" t="s">
        <v>500</v>
      </c>
      <c r="AL1277">
        <v>31.923480000000001</v>
      </c>
      <c r="AM1277" t="s">
        <v>631</v>
      </c>
      <c r="AN1277">
        <v>-100.969291</v>
      </c>
      <c r="AQ1277" t="s">
        <v>129</v>
      </c>
      <c r="AR1277">
        <v>0</v>
      </c>
      <c r="AS1277">
        <v>0</v>
      </c>
      <c r="AT1277">
        <v>0</v>
      </c>
      <c r="BB1277" t="str">
        <f t="shared" si="139"/>
        <v>1200</v>
      </c>
      <c r="BC1277">
        <v>1</v>
      </c>
      <c r="BD1277" t="str">
        <f t="shared" si="141"/>
        <v xml:space="preserve">N745MB  </v>
      </c>
      <c r="BE1277">
        <v>1</v>
      </c>
      <c r="BG1277">
        <v>0</v>
      </c>
      <c r="BH1277">
        <v>0</v>
      </c>
      <c r="BI1277">
        <v>0</v>
      </c>
      <c r="BL1277" t="s">
        <v>130</v>
      </c>
      <c r="BM1277">
        <v>1</v>
      </c>
      <c r="BN1277">
        <v>0</v>
      </c>
      <c r="BO1277">
        <v>0</v>
      </c>
      <c r="BP1277">
        <v>0</v>
      </c>
      <c r="BT1277">
        <v>0</v>
      </c>
      <c r="BU1277">
        <v>0</v>
      </c>
      <c r="CE1277" t="str">
        <f>"20:28:40.651"</f>
        <v>20:28:40.651</v>
      </c>
      <c r="CF1277">
        <v>651460586</v>
      </c>
      <c r="CS1277">
        <v>0</v>
      </c>
      <c r="CT1277">
        <v>2</v>
      </c>
      <c r="CU1277">
        <v>0</v>
      </c>
      <c r="CV1277">
        <v>2</v>
      </c>
      <c r="CW1277">
        <v>0</v>
      </c>
      <c r="CX1277">
        <v>4</v>
      </c>
      <c r="CY1277">
        <v>7</v>
      </c>
      <c r="CZ1277" t="s">
        <v>131</v>
      </c>
      <c r="DA1277">
        <v>116</v>
      </c>
      <c r="DB1277">
        <v>0</v>
      </c>
      <c r="DC1277" t="s">
        <v>132</v>
      </c>
      <c r="DD1277" t="s">
        <v>133</v>
      </c>
      <c r="DG1277">
        <v>14804060</v>
      </c>
      <c r="DI1277">
        <v>0</v>
      </c>
      <c r="DJ1277">
        <v>1</v>
      </c>
      <c r="DK1277">
        <v>1</v>
      </c>
      <c r="DL1277">
        <v>0</v>
      </c>
      <c r="DM1277">
        <v>0</v>
      </c>
      <c r="DN1277">
        <v>0</v>
      </c>
      <c r="DO1277">
        <v>0</v>
      </c>
      <c r="DP1277">
        <v>1</v>
      </c>
      <c r="DQ1277">
        <v>0</v>
      </c>
      <c r="DR1277">
        <v>0</v>
      </c>
      <c r="DS1277">
        <v>1</v>
      </c>
    </row>
    <row r="1278" spans="1:123" x14ac:dyDescent="0.25">
      <c r="A1278" t="str">
        <f>"11/29/2023 20:28:42.540"</f>
        <v>11/29/2023 20:28:42.540</v>
      </c>
      <c r="C1278" t="str">
        <f t="shared" si="140"/>
        <v>FFDF53C0</v>
      </c>
      <c r="D1278" t="s">
        <v>135</v>
      </c>
      <c r="E1278">
        <v>31</v>
      </c>
      <c r="H1278">
        <v>285</v>
      </c>
      <c r="I1278" t="s">
        <v>136</v>
      </c>
      <c r="J1278" t="s">
        <v>137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>"20:28:42.219"</f>
        <v>20:28:42.219</v>
      </c>
      <c r="T1278" t="str">
        <f>"20:28:42.019"</f>
        <v>20:28:42.019</v>
      </c>
      <c r="U1278" t="str">
        <f t="shared" si="138"/>
        <v>AA0632</v>
      </c>
      <c r="V1278">
        <v>0</v>
      </c>
      <c r="W1278">
        <v>0</v>
      </c>
      <c r="X1278">
        <v>2</v>
      </c>
      <c r="Y1278">
        <v>0</v>
      </c>
      <c r="AA1278">
        <v>0</v>
      </c>
      <c r="AB1278">
        <v>9</v>
      </c>
      <c r="AC1278">
        <v>3</v>
      </c>
      <c r="AD1278">
        <v>0</v>
      </c>
      <c r="AE1278">
        <v>10</v>
      </c>
      <c r="AF1278" t="s">
        <v>126</v>
      </c>
      <c r="AG1278">
        <v>0</v>
      </c>
      <c r="AH1278">
        <v>0</v>
      </c>
      <c r="AI1278">
        <v>2</v>
      </c>
      <c r="AJ1278">
        <v>0</v>
      </c>
      <c r="AK1278" t="s">
        <v>500</v>
      </c>
      <c r="AL1278">
        <v>31.923480000000001</v>
      </c>
      <c r="AM1278" t="s">
        <v>631</v>
      </c>
      <c r="AN1278">
        <v>-100.969291</v>
      </c>
      <c r="AQ1278" t="s">
        <v>129</v>
      </c>
      <c r="AR1278">
        <v>0</v>
      </c>
      <c r="AS1278">
        <v>0</v>
      </c>
      <c r="AT1278">
        <v>0</v>
      </c>
      <c r="BB1278" t="str">
        <f t="shared" si="139"/>
        <v>1200</v>
      </c>
      <c r="BC1278">
        <v>1</v>
      </c>
      <c r="BD1278" t="str">
        <f t="shared" si="141"/>
        <v xml:space="preserve">N745MB  </v>
      </c>
      <c r="BE1278">
        <v>1</v>
      </c>
      <c r="BG1278">
        <v>0</v>
      </c>
      <c r="BH1278">
        <v>0</v>
      </c>
      <c r="BI1278">
        <v>0</v>
      </c>
      <c r="BL1278" t="s">
        <v>130</v>
      </c>
      <c r="BM1278">
        <v>1</v>
      </c>
      <c r="BN1278">
        <v>0</v>
      </c>
      <c r="BO1278">
        <v>0</v>
      </c>
      <c r="BP1278">
        <v>0</v>
      </c>
      <c r="BT1278">
        <v>0</v>
      </c>
      <c r="BU1278">
        <v>0</v>
      </c>
      <c r="CE1278" t="str">
        <f>"20:28:42.223"</f>
        <v>20:28:42.223</v>
      </c>
      <c r="CF1278">
        <v>223359581</v>
      </c>
      <c r="CS1278">
        <v>0</v>
      </c>
      <c r="CT1278">
        <v>2</v>
      </c>
      <c r="CU1278">
        <v>0</v>
      </c>
      <c r="CV1278">
        <v>2</v>
      </c>
      <c r="CW1278">
        <v>0</v>
      </c>
      <c r="CX1278">
        <v>3</v>
      </c>
      <c r="CY1278">
        <v>7</v>
      </c>
      <c r="CZ1278" t="s">
        <v>131</v>
      </c>
      <c r="DA1278">
        <v>116</v>
      </c>
      <c r="DB1278">
        <v>0</v>
      </c>
      <c r="DC1278" t="s">
        <v>132</v>
      </c>
      <c r="DD1278" t="s">
        <v>133</v>
      </c>
      <c r="DG1278">
        <v>14805215</v>
      </c>
      <c r="DI1278">
        <v>0</v>
      </c>
      <c r="DJ1278">
        <v>1</v>
      </c>
      <c r="DK1278">
        <v>0</v>
      </c>
      <c r="DL1278">
        <v>0</v>
      </c>
      <c r="DM1278">
        <v>0</v>
      </c>
      <c r="DN1278">
        <v>0</v>
      </c>
      <c r="DO1278">
        <v>0</v>
      </c>
      <c r="DP1278">
        <v>1</v>
      </c>
      <c r="DQ1278">
        <v>0</v>
      </c>
      <c r="DR1278">
        <v>0</v>
      </c>
      <c r="DS1278">
        <v>1</v>
      </c>
    </row>
    <row r="1279" spans="1:123" x14ac:dyDescent="0.25">
      <c r="A1279" t="str">
        <f>"11/29/2023 20:28:42.571"</f>
        <v>11/29/2023 20:28:42.571</v>
      </c>
      <c r="C1279" t="str">
        <f t="shared" si="140"/>
        <v>FFDF53C0</v>
      </c>
      <c r="D1279" t="s">
        <v>123</v>
      </c>
      <c r="E1279">
        <v>14</v>
      </c>
      <c r="F1279">
        <v>1014</v>
      </c>
      <c r="G1279" t="s">
        <v>124</v>
      </c>
      <c r="J1279" t="s">
        <v>125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>"20:28:42.219"</f>
        <v>20:28:42.219</v>
      </c>
      <c r="T1279" t="str">
        <f>"20:28:42.019"</f>
        <v>20:28:42.019</v>
      </c>
      <c r="U1279" t="str">
        <f t="shared" si="138"/>
        <v>AA0632</v>
      </c>
      <c r="V1279">
        <v>0</v>
      </c>
      <c r="W1279">
        <v>0</v>
      </c>
      <c r="X1279">
        <v>2</v>
      </c>
      <c r="Y1279">
        <v>0</v>
      </c>
      <c r="AA1279">
        <v>0</v>
      </c>
      <c r="AB1279">
        <v>9</v>
      </c>
      <c r="AC1279">
        <v>3</v>
      </c>
      <c r="AD1279">
        <v>0</v>
      </c>
      <c r="AE1279">
        <v>10</v>
      </c>
      <c r="AF1279" t="s">
        <v>126</v>
      </c>
      <c r="AG1279">
        <v>0</v>
      </c>
      <c r="AH1279">
        <v>0</v>
      </c>
      <c r="AI1279">
        <v>2</v>
      </c>
      <c r="AJ1279">
        <v>0</v>
      </c>
      <c r="AK1279" t="s">
        <v>500</v>
      </c>
      <c r="AL1279">
        <v>31.923480000000001</v>
      </c>
      <c r="AM1279" t="s">
        <v>631</v>
      </c>
      <c r="AN1279">
        <v>-100.969291</v>
      </c>
      <c r="AQ1279" t="s">
        <v>129</v>
      </c>
      <c r="AR1279">
        <v>0</v>
      </c>
      <c r="AS1279">
        <v>0</v>
      </c>
      <c r="AT1279">
        <v>0</v>
      </c>
      <c r="BB1279" t="str">
        <f t="shared" si="139"/>
        <v>1200</v>
      </c>
      <c r="BC1279">
        <v>1</v>
      </c>
      <c r="BD1279" t="str">
        <f t="shared" si="141"/>
        <v xml:space="preserve">N745MB  </v>
      </c>
      <c r="BE1279">
        <v>1</v>
      </c>
      <c r="BG1279">
        <v>0</v>
      </c>
      <c r="BH1279">
        <v>0</v>
      </c>
      <c r="BI1279">
        <v>0</v>
      </c>
      <c r="BL1279" t="s">
        <v>130</v>
      </c>
      <c r="BM1279">
        <v>1</v>
      </c>
      <c r="BN1279">
        <v>0</v>
      </c>
      <c r="BO1279">
        <v>0</v>
      </c>
      <c r="BP1279">
        <v>0</v>
      </c>
      <c r="BT1279">
        <v>0</v>
      </c>
      <c r="BU1279">
        <v>0</v>
      </c>
      <c r="CE1279" t="str">
        <f>"20:28:42.223"</f>
        <v>20:28:42.223</v>
      </c>
      <c r="CF1279">
        <v>223359581</v>
      </c>
      <c r="CS1279">
        <v>0</v>
      </c>
      <c r="CT1279">
        <v>2</v>
      </c>
      <c r="CU1279">
        <v>0</v>
      </c>
      <c r="CV1279">
        <v>2</v>
      </c>
      <c r="CW1279">
        <v>0</v>
      </c>
      <c r="CX1279">
        <v>3</v>
      </c>
      <c r="CY1279">
        <v>7</v>
      </c>
      <c r="CZ1279" t="s">
        <v>131</v>
      </c>
      <c r="DA1279">
        <v>116</v>
      </c>
      <c r="DB1279">
        <v>0</v>
      </c>
      <c r="DC1279" t="s">
        <v>132</v>
      </c>
      <c r="DD1279" t="s">
        <v>133</v>
      </c>
      <c r="DG1279">
        <v>14805215</v>
      </c>
      <c r="DI1279">
        <v>0</v>
      </c>
      <c r="DJ1279">
        <v>1</v>
      </c>
      <c r="DK1279">
        <v>1</v>
      </c>
      <c r="DL1279">
        <v>0</v>
      </c>
      <c r="DM1279">
        <v>0</v>
      </c>
      <c r="DN1279">
        <v>0</v>
      </c>
      <c r="DO1279">
        <v>0</v>
      </c>
      <c r="DP1279">
        <v>1</v>
      </c>
      <c r="DQ1279">
        <v>0</v>
      </c>
      <c r="DR1279">
        <v>0</v>
      </c>
      <c r="DS1279">
        <v>1</v>
      </c>
    </row>
    <row r="1280" spans="1:123" x14ac:dyDescent="0.25">
      <c r="A1280" t="str">
        <f>"11/29/2023 20:28:42.571"</f>
        <v>11/29/2023 20:28:42.571</v>
      </c>
      <c r="C1280" t="str">
        <f t="shared" si="140"/>
        <v>FFDF53C0</v>
      </c>
      <c r="D1280" t="s">
        <v>123</v>
      </c>
      <c r="E1280">
        <v>1</v>
      </c>
      <c r="F1280">
        <v>1001</v>
      </c>
      <c r="G1280" t="s">
        <v>134</v>
      </c>
      <c r="J1280" t="s">
        <v>125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>"20:28:42.219"</f>
        <v>20:28:42.219</v>
      </c>
      <c r="T1280" t="str">
        <f>"20:28:42.019"</f>
        <v>20:28:42.019</v>
      </c>
      <c r="U1280" t="str">
        <f t="shared" si="138"/>
        <v>AA0632</v>
      </c>
      <c r="V1280">
        <v>0</v>
      </c>
      <c r="W1280">
        <v>0</v>
      </c>
      <c r="X1280">
        <v>2</v>
      </c>
      <c r="Y1280">
        <v>0</v>
      </c>
      <c r="AA1280">
        <v>0</v>
      </c>
      <c r="AB1280">
        <v>9</v>
      </c>
      <c r="AC1280">
        <v>3</v>
      </c>
      <c r="AD1280">
        <v>0</v>
      </c>
      <c r="AE1280">
        <v>10</v>
      </c>
      <c r="AF1280" t="s">
        <v>126</v>
      </c>
      <c r="AG1280">
        <v>0</v>
      </c>
      <c r="AH1280">
        <v>0</v>
      </c>
      <c r="AI1280">
        <v>2</v>
      </c>
      <c r="AJ1280">
        <v>0</v>
      </c>
      <c r="AK1280" t="s">
        <v>500</v>
      </c>
      <c r="AL1280">
        <v>31.923480000000001</v>
      </c>
      <c r="AM1280" t="s">
        <v>631</v>
      </c>
      <c r="AN1280">
        <v>-100.969291</v>
      </c>
      <c r="AQ1280" t="s">
        <v>129</v>
      </c>
      <c r="AR1280">
        <v>0</v>
      </c>
      <c r="AS1280">
        <v>0</v>
      </c>
      <c r="AT1280">
        <v>0</v>
      </c>
      <c r="BB1280" t="str">
        <f t="shared" si="139"/>
        <v>1200</v>
      </c>
      <c r="BC1280">
        <v>1</v>
      </c>
      <c r="BD1280" t="str">
        <f t="shared" si="141"/>
        <v xml:space="preserve">N745MB  </v>
      </c>
      <c r="BE1280">
        <v>1</v>
      </c>
      <c r="BG1280">
        <v>0</v>
      </c>
      <c r="BH1280">
        <v>0</v>
      </c>
      <c r="BI1280">
        <v>0</v>
      </c>
      <c r="BL1280" t="s">
        <v>130</v>
      </c>
      <c r="BM1280">
        <v>1</v>
      </c>
      <c r="BN1280">
        <v>0</v>
      </c>
      <c r="BO1280">
        <v>0</v>
      </c>
      <c r="BP1280">
        <v>0</v>
      </c>
      <c r="BT1280">
        <v>0</v>
      </c>
      <c r="BU1280">
        <v>0</v>
      </c>
      <c r="CE1280" t="str">
        <f>"20:28:42.223"</f>
        <v>20:28:42.223</v>
      </c>
      <c r="CF1280">
        <v>223359581</v>
      </c>
      <c r="CS1280">
        <v>0</v>
      </c>
      <c r="CT1280">
        <v>2</v>
      </c>
      <c r="CU1280">
        <v>0</v>
      </c>
      <c r="CV1280">
        <v>2</v>
      </c>
      <c r="CW1280">
        <v>0</v>
      </c>
      <c r="CX1280">
        <v>3</v>
      </c>
      <c r="CY1280">
        <v>7</v>
      </c>
      <c r="CZ1280" t="s">
        <v>131</v>
      </c>
      <c r="DA1280">
        <v>116</v>
      </c>
      <c r="DB1280">
        <v>0</v>
      </c>
      <c r="DC1280" t="s">
        <v>132</v>
      </c>
      <c r="DD1280" t="s">
        <v>133</v>
      </c>
      <c r="DG1280">
        <v>14805215</v>
      </c>
      <c r="DI1280">
        <v>0</v>
      </c>
      <c r="DJ1280">
        <v>1</v>
      </c>
      <c r="DK1280">
        <v>1</v>
      </c>
      <c r="DL1280">
        <v>0</v>
      </c>
      <c r="DM1280">
        <v>0</v>
      </c>
      <c r="DN1280">
        <v>0</v>
      </c>
      <c r="DO1280">
        <v>0</v>
      </c>
      <c r="DP1280">
        <v>1</v>
      </c>
      <c r="DQ1280">
        <v>0</v>
      </c>
      <c r="DR1280">
        <v>0</v>
      </c>
      <c r="DS1280">
        <v>1</v>
      </c>
    </row>
    <row r="1281" spans="1:123" x14ac:dyDescent="0.25">
      <c r="A1281" t="str">
        <f>"11/29/2023 20:28:42.665"</f>
        <v>11/29/2023 20:28:42.665</v>
      </c>
      <c r="C1281" t="str">
        <f t="shared" si="140"/>
        <v>FFDF53C0</v>
      </c>
      <c r="D1281" t="s">
        <v>138</v>
      </c>
      <c r="E1281">
        <v>3</v>
      </c>
      <c r="H1281">
        <v>160</v>
      </c>
      <c r="I1281" t="s">
        <v>124</v>
      </c>
      <c r="J1281" t="s">
        <v>139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>"20:28:42.219"</f>
        <v>20:28:42.219</v>
      </c>
      <c r="T1281" t="str">
        <f>"20:28:42.019"</f>
        <v>20:28:42.019</v>
      </c>
      <c r="U1281" t="str">
        <f t="shared" si="138"/>
        <v>AA0632</v>
      </c>
      <c r="V1281">
        <v>0</v>
      </c>
      <c r="W1281">
        <v>0</v>
      </c>
      <c r="X1281">
        <v>2</v>
      </c>
      <c r="Y1281">
        <v>0</v>
      </c>
      <c r="AA1281">
        <v>0</v>
      </c>
      <c r="AB1281">
        <v>9</v>
      </c>
      <c r="AC1281">
        <v>3</v>
      </c>
      <c r="AD1281">
        <v>0</v>
      </c>
      <c r="AE1281">
        <v>10</v>
      </c>
      <c r="AF1281" t="s">
        <v>126</v>
      </c>
      <c r="AG1281">
        <v>0</v>
      </c>
      <c r="AH1281">
        <v>0</v>
      </c>
      <c r="AI1281">
        <v>2</v>
      </c>
      <c r="AJ1281">
        <v>0</v>
      </c>
      <c r="AK1281" t="s">
        <v>500</v>
      </c>
      <c r="AL1281">
        <v>31.923480000000001</v>
      </c>
      <c r="AM1281" t="s">
        <v>631</v>
      </c>
      <c r="AN1281">
        <v>-100.969291</v>
      </c>
      <c r="AQ1281" t="s">
        <v>129</v>
      </c>
      <c r="AR1281">
        <v>0</v>
      </c>
      <c r="AS1281">
        <v>0</v>
      </c>
      <c r="AT1281">
        <v>0</v>
      </c>
      <c r="BB1281" t="str">
        <f t="shared" si="139"/>
        <v>1200</v>
      </c>
      <c r="BC1281">
        <v>1</v>
      </c>
      <c r="BD1281" t="str">
        <f t="shared" si="141"/>
        <v xml:space="preserve">N745MB  </v>
      </c>
      <c r="BE1281">
        <v>1</v>
      </c>
      <c r="BG1281">
        <v>0</v>
      </c>
      <c r="BH1281">
        <v>0</v>
      </c>
      <c r="BI1281">
        <v>0</v>
      </c>
      <c r="BL1281" t="s">
        <v>130</v>
      </c>
      <c r="BM1281">
        <v>1</v>
      </c>
      <c r="BN1281">
        <v>0</v>
      </c>
      <c r="BO1281">
        <v>0</v>
      </c>
      <c r="BP1281">
        <v>0</v>
      </c>
      <c r="BT1281">
        <v>0</v>
      </c>
      <c r="BU1281">
        <v>0</v>
      </c>
      <c r="CE1281" t="str">
        <f>"20:28:42.223"</f>
        <v>20:28:42.223</v>
      </c>
      <c r="CF1281">
        <v>223359581</v>
      </c>
      <c r="CS1281">
        <v>0</v>
      </c>
      <c r="CT1281">
        <v>2</v>
      </c>
      <c r="CU1281">
        <v>0</v>
      </c>
      <c r="CV1281">
        <v>2</v>
      </c>
      <c r="CW1281">
        <v>0</v>
      </c>
      <c r="CX1281">
        <v>3</v>
      </c>
      <c r="CY1281">
        <v>7</v>
      </c>
      <c r="CZ1281" t="s">
        <v>131</v>
      </c>
      <c r="DA1281">
        <v>116</v>
      </c>
      <c r="DB1281">
        <v>0</v>
      </c>
      <c r="DC1281" t="s">
        <v>132</v>
      </c>
      <c r="DD1281" t="s">
        <v>133</v>
      </c>
      <c r="DG1281">
        <v>14805215</v>
      </c>
      <c r="DI1281">
        <v>0</v>
      </c>
      <c r="DJ1281">
        <v>1</v>
      </c>
      <c r="DK1281">
        <v>1</v>
      </c>
      <c r="DL1281">
        <v>0</v>
      </c>
      <c r="DM1281">
        <v>0</v>
      </c>
      <c r="DN1281">
        <v>0</v>
      </c>
      <c r="DO1281">
        <v>0</v>
      </c>
      <c r="DP1281">
        <v>1</v>
      </c>
      <c r="DQ1281">
        <v>0</v>
      </c>
      <c r="DR1281">
        <v>0</v>
      </c>
      <c r="DS1281">
        <v>1</v>
      </c>
    </row>
    <row r="1282" spans="1:123" x14ac:dyDescent="0.25">
      <c r="A1282" t="str">
        <f>"11/29/2023 20:28:44.103"</f>
        <v>11/29/2023 20:28:44.103</v>
      </c>
      <c r="C1282" t="str">
        <f t="shared" si="140"/>
        <v>FFDF53C0</v>
      </c>
      <c r="D1282" t="s">
        <v>135</v>
      </c>
      <c r="E1282">
        <v>31</v>
      </c>
      <c r="H1282">
        <v>285</v>
      </c>
      <c r="I1282" t="s">
        <v>136</v>
      </c>
      <c r="J1282" t="s">
        <v>137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 t="shared" ref="S1282:T1285" si="143">"20:28:43.711"</f>
        <v>20:28:43.711</v>
      </c>
      <c r="T1282" t="str">
        <f t="shared" si="143"/>
        <v>20:28:43.711</v>
      </c>
      <c r="U1282" t="str">
        <f t="shared" ref="U1282:U1319" si="144">"AA0632"</f>
        <v>AA0632</v>
      </c>
      <c r="V1282">
        <v>0</v>
      </c>
      <c r="W1282">
        <v>0</v>
      </c>
      <c r="X1282">
        <v>2</v>
      </c>
      <c r="Y1282">
        <v>0</v>
      </c>
      <c r="AA1282">
        <v>0</v>
      </c>
      <c r="AB1282">
        <v>9</v>
      </c>
      <c r="AC1282">
        <v>3</v>
      </c>
      <c r="AD1282">
        <v>0</v>
      </c>
      <c r="AE1282">
        <v>10</v>
      </c>
      <c r="AF1282" t="s">
        <v>126</v>
      </c>
      <c r="AG1282">
        <v>0</v>
      </c>
      <c r="AH1282">
        <v>0</v>
      </c>
      <c r="AI1282">
        <v>2</v>
      </c>
      <c r="AJ1282">
        <v>0</v>
      </c>
      <c r="AK1282" t="s">
        <v>500</v>
      </c>
      <c r="AL1282">
        <v>31.923480000000001</v>
      </c>
      <c r="AM1282" t="s">
        <v>631</v>
      </c>
      <c r="AN1282">
        <v>-100.969291</v>
      </c>
      <c r="AQ1282" t="s">
        <v>129</v>
      </c>
      <c r="AR1282">
        <v>0</v>
      </c>
      <c r="AS1282">
        <v>0</v>
      </c>
      <c r="AT1282">
        <v>0</v>
      </c>
      <c r="BB1282" t="str">
        <f t="shared" ref="BB1282:BB1319" si="145">"1200"</f>
        <v>1200</v>
      </c>
      <c r="BC1282">
        <v>1</v>
      </c>
      <c r="BD1282" t="str">
        <f t="shared" si="141"/>
        <v xml:space="preserve">N745MB  </v>
      </c>
      <c r="BE1282">
        <v>1</v>
      </c>
      <c r="BG1282">
        <v>0</v>
      </c>
      <c r="BH1282">
        <v>0</v>
      </c>
      <c r="BI1282">
        <v>0</v>
      </c>
      <c r="BL1282" t="s">
        <v>130</v>
      </c>
      <c r="BM1282">
        <v>1</v>
      </c>
      <c r="BN1282">
        <v>0</v>
      </c>
      <c r="BO1282">
        <v>0</v>
      </c>
      <c r="BP1282">
        <v>0</v>
      </c>
      <c r="BT1282">
        <v>0</v>
      </c>
      <c r="BU1282">
        <v>0</v>
      </c>
      <c r="CE1282" t="str">
        <f>"20:28:43.713"</f>
        <v>20:28:43.713</v>
      </c>
      <c r="CF1282">
        <v>713257685</v>
      </c>
      <c r="CS1282">
        <v>0</v>
      </c>
      <c r="CT1282">
        <v>2</v>
      </c>
      <c r="CU1282">
        <v>0</v>
      </c>
      <c r="CV1282">
        <v>2</v>
      </c>
      <c r="CW1282">
        <v>0</v>
      </c>
      <c r="CX1282">
        <v>3</v>
      </c>
      <c r="CY1282">
        <v>7</v>
      </c>
      <c r="CZ1282" t="s">
        <v>131</v>
      </c>
      <c r="DA1282">
        <v>116</v>
      </c>
      <c r="DB1282">
        <v>0</v>
      </c>
      <c r="DC1282" t="s">
        <v>132</v>
      </c>
      <c r="DD1282" t="s">
        <v>133</v>
      </c>
      <c r="DG1282">
        <v>14806377</v>
      </c>
      <c r="DI1282">
        <v>0</v>
      </c>
      <c r="DJ1282">
        <v>1</v>
      </c>
      <c r="DK1282">
        <v>0</v>
      </c>
      <c r="DL1282">
        <v>0</v>
      </c>
      <c r="DM1282">
        <v>0</v>
      </c>
      <c r="DN1282">
        <v>0</v>
      </c>
      <c r="DO1282">
        <v>0</v>
      </c>
      <c r="DP1282">
        <v>1</v>
      </c>
      <c r="DQ1282">
        <v>0</v>
      </c>
      <c r="DR1282">
        <v>0</v>
      </c>
      <c r="DS1282">
        <v>1</v>
      </c>
    </row>
    <row r="1283" spans="1:123" x14ac:dyDescent="0.25">
      <c r="A1283" t="str">
        <f>"11/29/2023 20:28:44.103"</f>
        <v>11/29/2023 20:28:44.103</v>
      </c>
      <c r="C1283" t="str">
        <f t="shared" si="140"/>
        <v>FFDF53C0</v>
      </c>
      <c r="D1283" t="s">
        <v>123</v>
      </c>
      <c r="E1283">
        <v>14</v>
      </c>
      <c r="F1283">
        <v>1014</v>
      </c>
      <c r="G1283" t="s">
        <v>124</v>
      </c>
      <c r="J1283" t="s">
        <v>125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 t="shared" si="143"/>
        <v>20:28:43.711</v>
      </c>
      <c r="T1283" t="str">
        <f t="shared" si="143"/>
        <v>20:28:43.711</v>
      </c>
      <c r="U1283" t="str">
        <f t="shared" si="144"/>
        <v>AA0632</v>
      </c>
      <c r="V1283">
        <v>0</v>
      </c>
      <c r="W1283">
        <v>0</v>
      </c>
      <c r="X1283">
        <v>2</v>
      </c>
      <c r="Y1283">
        <v>0</v>
      </c>
      <c r="AA1283">
        <v>0</v>
      </c>
      <c r="AB1283">
        <v>9</v>
      </c>
      <c r="AC1283">
        <v>3</v>
      </c>
      <c r="AD1283">
        <v>0</v>
      </c>
      <c r="AE1283">
        <v>10</v>
      </c>
      <c r="AF1283" t="s">
        <v>126</v>
      </c>
      <c r="AG1283">
        <v>0</v>
      </c>
      <c r="AH1283">
        <v>0</v>
      </c>
      <c r="AI1283">
        <v>2</v>
      </c>
      <c r="AJ1283">
        <v>0</v>
      </c>
      <c r="AK1283" t="s">
        <v>500</v>
      </c>
      <c r="AL1283">
        <v>31.923480000000001</v>
      </c>
      <c r="AM1283" t="s">
        <v>631</v>
      </c>
      <c r="AN1283">
        <v>-100.969291</v>
      </c>
      <c r="AQ1283" t="s">
        <v>129</v>
      </c>
      <c r="AR1283">
        <v>0</v>
      </c>
      <c r="AS1283">
        <v>0</v>
      </c>
      <c r="AT1283">
        <v>0</v>
      </c>
      <c r="BB1283" t="str">
        <f t="shared" si="145"/>
        <v>1200</v>
      </c>
      <c r="BC1283">
        <v>1</v>
      </c>
      <c r="BD1283" t="str">
        <f t="shared" si="141"/>
        <v xml:space="preserve">N745MB  </v>
      </c>
      <c r="BE1283">
        <v>1</v>
      </c>
      <c r="BG1283">
        <v>0</v>
      </c>
      <c r="BH1283">
        <v>0</v>
      </c>
      <c r="BI1283">
        <v>0</v>
      </c>
      <c r="BL1283" t="s">
        <v>130</v>
      </c>
      <c r="BM1283">
        <v>1</v>
      </c>
      <c r="BN1283">
        <v>0</v>
      </c>
      <c r="BO1283">
        <v>0</v>
      </c>
      <c r="BP1283">
        <v>0</v>
      </c>
      <c r="BT1283">
        <v>0</v>
      </c>
      <c r="BU1283">
        <v>0</v>
      </c>
      <c r="CE1283" t="str">
        <f>"20:28:43.713"</f>
        <v>20:28:43.713</v>
      </c>
      <c r="CF1283">
        <v>713257685</v>
      </c>
      <c r="CS1283">
        <v>0</v>
      </c>
      <c r="CT1283">
        <v>2</v>
      </c>
      <c r="CU1283">
        <v>0</v>
      </c>
      <c r="CV1283">
        <v>2</v>
      </c>
      <c r="CW1283">
        <v>0</v>
      </c>
      <c r="CX1283">
        <v>3</v>
      </c>
      <c r="CY1283">
        <v>7</v>
      </c>
      <c r="CZ1283" t="s">
        <v>131</v>
      </c>
      <c r="DA1283">
        <v>116</v>
      </c>
      <c r="DB1283">
        <v>0</v>
      </c>
      <c r="DC1283" t="s">
        <v>132</v>
      </c>
      <c r="DD1283" t="s">
        <v>133</v>
      </c>
      <c r="DG1283">
        <v>14806377</v>
      </c>
      <c r="DI1283">
        <v>0</v>
      </c>
      <c r="DJ1283">
        <v>1</v>
      </c>
      <c r="DK1283">
        <v>1</v>
      </c>
      <c r="DL1283">
        <v>0</v>
      </c>
      <c r="DM1283">
        <v>0</v>
      </c>
      <c r="DN1283">
        <v>0</v>
      </c>
      <c r="DO1283">
        <v>0</v>
      </c>
      <c r="DP1283">
        <v>1</v>
      </c>
      <c r="DQ1283">
        <v>0</v>
      </c>
      <c r="DR1283">
        <v>0</v>
      </c>
      <c r="DS1283">
        <v>1</v>
      </c>
    </row>
    <row r="1284" spans="1:123" x14ac:dyDescent="0.25">
      <c r="A1284" t="str">
        <f>"11/29/2023 20:28:44.103"</f>
        <v>11/29/2023 20:28:44.103</v>
      </c>
      <c r="C1284" t="str">
        <f t="shared" si="140"/>
        <v>FFDF53C0</v>
      </c>
      <c r="D1284" t="s">
        <v>123</v>
      </c>
      <c r="E1284">
        <v>1</v>
      </c>
      <c r="F1284">
        <v>1001</v>
      </c>
      <c r="G1284" t="s">
        <v>134</v>
      </c>
      <c r="J1284" t="s">
        <v>125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 t="shared" si="143"/>
        <v>20:28:43.711</v>
      </c>
      <c r="T1284" t="str">
        <f t="shared" si="143"/>
        <v>20:28:43.711</v>
      </c>
      <c r="U1284" t="str">
        <f t="shared" si="144"/>
        <v>AA0632</v>
      </c>
      <c r="V1284">
        <v>0</v>
      </c>
      <c r="W1284">
        <v>0</v>
      </c>
      <c r="X1284">
        <v>2</v>
      </c>
      <c r="Y1284">
        <v>0</v>
      </c>
      <c r="AA1284">
        <v>0</v>
      </c>
      <c r="AB1284">
        <v>9</v>
      </c>
      <c r="AC1284">
        <v>3</v>
      </c>
      <c r="AD1284">
        <v>0</v>
      </c>
      <c r="AE1284">
        <v>10</v>
      </c>
      <c r="AF1284" t="s">
        <v>126</v>
      </c>
      <c r="AG1284">
        <v>0</v>
      </c>
      <c r="AH1284">
        <v>0</v>
      </c>
      <c r="AI1284">
        <v>2</v>
      </c>
      <c r="AJ1284">
        <v>0</v>
      </c>
      <c r="AK1284" t="s">
        <v>500</v>
      </c>
      <c r="AL1284">
        <v>31.923480000000001</v>
      </c>
      <c r="AM1284" t="s">
        <v>631</v>
      </c>
      <c r="AN1284">
        <v>-100.969291</v>
      </c>
      <c r="AQ1284" t="s">
        <v>129</v>
      </c>
      <c r="AR1284">
        <v>0</v>
      </c>
      <c r="AS1284">
        <v>0</v>
      </c>
      <c r="AT1284">
        <v>0</v>
      </c>
      <c r="BB1284" t="str">
        <f t="shared" si="145"/>
        <v>1200</v>
      </c>
      <c r="BC1284">
        <v>1</v>
      </c>
      <c r="BD1284" t="str">
        <f t="shared" si="141"/>
        <v xml:space="preserve">N745MB  </v>
      </c>
      <c r="BE1284">
        <v>1</v>
      </c>
      <c r="BG1284">
        <v>0</v>
      </c>
      <c r="BH1284">
        <v>0</v>
      </c>
      <c r="BI1284">
        <v>0</v>
      </c>
      <c r="BL1284" t="s">
        <v>130</v>
      </c>
      <c r="BM1284">
        <v>1</v>
      </c>
      <c r="BN1284">
        <v>0</v>
      </c>
      <c r="BO1284">
        <v>0</v>
      </c>
      <c r="BP1284">
        <v>0</v>
      </c>
      <c r="BT1284">
        <v>0</v>
      </c>
      <c r="BU1284">
        <v>0</v>
      </c>
      <c r="CE1284" t="str">
        <f>"20:28:43.713"</f>
        <v>20:28:43.713</v>
      </c>
      <c r="CF1284">
        <v>713257685</v>
      </c>
      <c r="CS1284">
        <v>0</v>
      </c>
      <c r="CT1284">
        <v>2</v>
      </c>
      <c r="CU1284">
        <v>0</v>
      </c>
      <c r="CV1284">
        <v>2</v>
      </c>
      <c r="CW1284">
        <v>0</v>
      </c>
      <c r="CX1284">
        <v>3</v>
      </c>
      <c r="CY1284">
        <v>7</v>
      </c>
      <c r="CZ1284" t="s">
        <v>131</v>
      </c>
      <c r="DA1284">
        <v>116</v>
      </c>
      <c r="DB1284">
        <v>0</v>
      </c>
      <c r="DC1284" t="s">
        <v>132</v>
      </c>
      <c r="DD1284" t="s">
        <v>133</v>
      </c>
      <c r="DG1284">
        <v>14806377</v>
      </c>
      <c r="DI1284">
        <v>0</v>
      </c>
      <c r="DJ1284">
        <v>1</v>
      </c>
      <c r="DK1284">
        <v>1</v>
      </c>
      <c r="DL1284">
        <v>0</v>
      </c>
      <c r="DM1284">
        <v>0</v>
      </c>
      <c r="DN1284">
        <v>0</v>
      </c>
      <c r="DO1284">
        <v>0</v>
      </c>
      <c r="DP1284">
        <v>1</v>
      </c>
      <c r="DQ1284">
        <v>0</v>
      </c>
      <c r="DR1284">
        <v>0</v>
      </c>
      <c r="DS1284">
        <v>1</v>
      </c>
    </row>
    <row r="1285" spans="1:123" x14ac:dyDescent="0.25">
      <c r="A1285" t="str">
        <f>"11/29/2023 20:28:44.103"</f>
        <v>11/29/2023 20:28:44.103</v>
      </c>
      <c r="C1285" t="str">
        <f t="shared" si="140"/>
        <v>FFDF53C0</v>
      </c>
      <c r="D1285" t="s">
        <v>138</v>
      </c>
      <c r="E1285">
        <v>3</v>
      </c>
      <c r="H1285">
        <v>160</v>
      </c>
      <c r="I1285" t="s">
        <v>124</v>
      </c>
      <c r="J1285" t="s">
        <v>139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 t="shared" si="143"/>
        <v>20:28:43.711</v>
      </c>
      <c r="T1285" t="str">
        <f t="shared" si="143"/>
        <v>20:28:43.711</v>
      </c>
      <c r="U1285" t="str">
        <f t="shared" si="144"/>
        <v>AA0632</v>
      </c>
      <c r="V1285">
        <v>0</v>
      </c>
      <c r="W1285">
        <v>0</v>
      </c>
      <c r="X1285">
        <v>2</v>
      </c>
      <c r="Y1285">
        <v>0</v>
      </c>
      <c r="AA1285">
        <v>0</v>
      </c>
      <c r="AB1285">
        <v>9</v>
      </c>
      <c r="AC1285">
        <v>3</v>
      </c>
      <c r="AD1285">
        <v>0</v>
      </c>
      <c r="AE1285">
        <v>10</v>
      </c>
      <c r="AF1285" t="s">
        <v>126</v>
      </c>
      <c r="AG1285">
        <v>0</v>
      </c>
      <c r="AH1285">
        <v>0</v>
      </c>
      <c r="AI1285">
        <v>2</v>
      </c>
      <c r="AJ1285">
        <v>0</v>
      </c>
      <c r="AK1285" t="s">
        <v>500</v>
      </c>
      <c r="AL1285">
        <v>31.923480000000001</v>
      </c>
      <c r="AM1285" t="s">
        <v>631</v>
      </c>
      <c r="AN1285">
        <v>-100.969291</v>
      </c>
      <c r="AQ1285" t="s">
        <v>129</v>
      </c>
      <c r="AR1285">
        <v>0</v>
      </c>
      <c r="AS1285">
        <v>0</v>
      </c>
      <c r="AT1285">
        <v>0</v>
      </c>
      <c r="BB1285" t="str">
        <f t="shared" si="145"/>
        <v>1200</v>
      </c>
      <c r="BC1285">
        <v>1</v>
      </c>
      <c r="BD1285" t="str">
        <f t="shared" si="141"/>
        <v xml:space="preserve">N745MB  </v>
      </c>
      <c r="BE1285">
        <v>1</v>
      </c>
      <c r="BG1285">
        <v>0</v>
      </c>
      <c r="BH1285">
        <v>0</v>
      </c>
      <c r="BI1285">
        <v>0</v>
      </c>
      <c r="BL1285" t="s">
        <v>130</v>
      </c>
      <c r="BM1285">
        <v>1</v>
      </c>
      <c r="BN1285">
        <v>0</v>
      </c>
      <c r="BO1285">
        <v>0</v>
      </c>
      <c r="BP1285">
        <v>0</v>
      </c>
      <c r="BT1285">
        <v>0</v>
      </c>
      <c r="BU1285">
        <v>0</v>
      </c>
      <c r="CE1285" t="str">
        <f>"20:28:43.713"</f>
        <v>20:28:43.713</v>
      </c>
      <c r="CF1285">
        <v>713257685</v>
      </c>
      <c r="CS1285">
        <v>0</v>
      </c>
      <c r="CT1285">
        <v>2</v>
      </c>
      <c r="CU1285">
        <v>0</v>
      </c>
      <c r="CV1285">
        <v>2</v>
      </c>
      <c r="CW1285">
        <v>0</v>
      </c>
      <c r="CX1285">
        <v>3</v>
      </c>
      <c r="CY1285">
        <v>7</v>
      </c>
      <c r="CZ1285" t="s">
        <v>131</v>
      </c>
      <c r="DA1285">
        <v>116</v>
      </c>
      <c r="DB1285">
        <v>0</v>
      </c>
      <c r="DC1285" t="s">
        <v>132</v>
      </c>
      <c r="DD1285" t="s">
        <v>133</v>
      </c>
      <c r="DG1285">
        <v>14806377</v>
      </c>
      <c r="DI1285">
        <v>0</v>
      </c>
      <c r="DJ1285">
        <v>1</v>
      </c>
      <c r="DK1285">
        <v>1</v>
      </c>
      <c r="DL1285">
        <v>0</v>
      </c>
      <c r="DM1285">
        <v>0</v>
      </c>
      <c r="DN1285">
        <v>0</v>
      </c>
      <c r="DO1285">
        <v>0</v>
      </c>
      <c r="DP1285">
        <v>1</v>
      </c>
      <c r="DQ1285">
        <v>0</v>
      </c>
      <c r="DR1285">
        <v>0</v>
      </c>
      <c r="DS1285">
        <v>1</v>
      </c>
    </row>
    <row r="1286" spans="1:123" x14ac:dyDescent="0.25">
      <c r="A1286" t="str">
        <f>"11/29/2023 20:28:45.384"</f>
        <v>11/29/2023 20:28:45.384</v>
      </c>
      <c r="C1286" t="str">
        <f t="shared" si="140"/>
        <v>FFDF53C0</v>
      </c>
      <c r="D1286" t="s">
        <v>135</v>
      </c>
      <c r="E1286">
        <v>31</v>
      </c>
      <c r="H1286">
        <v>285</v>
      </c>
      <c r="I1286" t="s">
        <v>136</v>
      </c>
      <c r="J1286" t="s">
        <v>137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>"20:28:44.969"</f>
        <v>20:28:44.969</v>
      </c>
      <c r="T1286" t="str">
        <f>"20:28:44.669"</f>
        <v>20:28:44.669</v>
      </c>
      <c r="U1286" t="str">
        <f t="shared" si="144"/>
        <v>AA0632</v>
      </c>
      <c r="V1286">
        <v>0</v>
      </c>
      <c r="W1286">
        <v>0</v>
      </c>
      <c r="X1286">
        <v>2</v>
      </c>
      <c r="Y1286">
        <v>0</v>
      </c>
      <c r="AA1286">
        <v>0</v>
      </c>
      <c r="AB1286">
        <v>9</v>
      </c>
      <c r="AC1286">
        <v>3</v>
      </c>
      <c r="AD1286">
        <v>0</v>
      </c>
      <c r="AE1286">
        <v>10</v>
      </c>
      <c r="AF1286" t="s">
        <v>126</v>
      </c>
      <c r="AG1286">
        <v>0</v>
      </c>
      <c r="AH1286">
        <v>0</v>
      </c>
      <c r="AI1286">
        <v>2</v>
      </c>
      <c r="AJ1286">
        <v>0</v>
      </c>
      <c r="AK1286" t="s">
        <v>500</v>
      </c>
      <c r="AL1286">
        <v>31.923480000000001</v>
      </c>
      <c r="AM1286" t="s">
        <v>631</v>
      </c>
      <c r="AN1286">
        <v>-100.969291</v>
      </c>
      <c r="AQ1286" t="s">
        <v>129</v>
      </c>
      <c r="AR1286">
        <v>0</v>
      </c>
      <c r="AS1286">
        <v>0</v>
      </c>
      <c r="AT1286">
        <v>64</v>
      </c>
      <c r="BB1286" t="str">
        <f t="shared" si="145"/>
        <v>1200</v>
      </c>
      <c r="BC1286">
        <v>1</v>
      </c>
      <c r="BD1286" t="str">
        <f t="shared" si="141"/>
        <v xml:space="preserve">N745MB  </v>
      </c>
      <c r="BE1286">
        <v>1</v>
      </c>
      <c r="BG1286">
        <v>0</v>
      </c>
      <c r="BH1286">
        <v>0</v>
      </c>
      <c r="BI1286">
        <v>0</v>
      </c>
      <c r="BL1286" t="s">
        <v>130</v>
      </c>
      <c r="BM1286">
        <v>1</v>
      </c>
      <c r="BN1286">
        <v>0</v>
      </c>
      <c r="BO1286">
        <v>0</v>
      </c>
      <c r="BP1286">
        <v>0</v>
      </c>
      <c r="BT1286">
        <v>0</v>
      </c>
      <c r="BU1286">
        <v>0</v>
      </c>
      <c r="CE1286" t="str">
        <f>"20:28:44.975"</f>
        <v>20:28:44.975</v>
      </c>
      <c r="CF1286">
        <v>975175320</v>
      </c>
      <c r="CS1286">
        <v>0</v>
      </c>
      <c r="CT1286">
        <v>2</v>
      </c>
      <c r="CU1286">
        <v>0</v>
      </c>
      <c r="CV1286">
        <v>2</v>
      </c>
      <c r="CW1286">
        <v>0</v>
      </c>
      <c r="CX1286">
        <v>3</v>
      </c>
      <c r="CY1286">
        <v>7</v>
      </c>
      <c r="CZ1286" t="s">
        <v>131</v>
      </c>
      <c r="DA1286">
        <v>116</v>
      </c>
      <c r="DB1286">
        <v>0</v>
      </c>
      <c r="DC1286" t="s">
        <v>132</v>
      </c>
      <c r="DD1286" t="s">
        <v>133</v>
      </c>
      <c r="DG1286">
        <v>14807350</v>
      </c>
      <c r="DI1286">
        <v>0</v>
      </c>
      <c r="DJ1286">
        <v>1</v>
      </c>
      <c r="DK1286">
        <v>0</v>
      </c>
      <c r="DL1286">
        <v>0</v>
      </c>
      <c r="DM1286">
        <v>0</v>
      </c>
      <c r="DN1286">
        <v>0</v>
      </c>
      <c r="DO1286">
        <v>0</v>
      </c>
      <c r="DP1286">
        <v>1</v>
      </c>
      <c r="DQ1286">
        <v>0</v>
      </c>
      <c r="DR1286">
        <v>0</v>
      </c>
      <c r="DS1286">
        <v>1</v>
      </c>
    </row>
    <row r="1287" spans="1:123" x14ac:dyDescent="0.25">
      <c r="A1287" t="str">
        <f>"11/29/2023 20:28:45.384"</f>
        <v>11/29/2023 20:28:45.384</v>
      </c>
      <c r="C1287" t="str">
        <f t="shared" si="140"/>
        <v>FFDF53C0</v>
      </c>
      <c r="D1287" t="s">
        <v>123</v>
      </c>
      <c r="E1287">
        <v>14</v>
      </c>
      <c r="F1287">
        <v>1014</v>
      </c>
      <c r="G1287" t="s">
        <v>124</v>
      </c>
      <c r="J1287" t="s">
        <v>125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>"20:28:44.969"</f>
        <v>20:28:44.969</v>
      </c>
      <c r="T1287" t="str">
        <f>"20:28:44.669"</f>
        <v>20:28:44.669</v>
      </c>
      <c r="U1287" t="str">
        <f t="shared" si="144"/>
        <v>AA0632</v>
      </c>
      <c r="V1287">
        <v>0</v>
      </c>
      <c r="W1287">
        <v>0</v>
      </c>
      <c r="X1287">
        <v>2</v>
      </c>
      <c r="Y1287">
        <v>0</v>
      </c>
      <c r="AA1287">
        <v>0</v>
      </c>
      <c r="AB1287">
        <v>9</v>
      </c>
      <c r="AC1287">
        <v>3</v>
      </c>
      <c r="AD1287">
        <v>0</v>
      </c>
      <c r="AE1287">
        <v>10</v>
      </c>
      <c r="AF1287" t="s">
        <v>126</v>
      </c>
      <c r="AG1287">
        <v>0</v>
      </c>
      <c r="AH1287">
        <v>0</v>
      </c>
      <c r="AI1287">
        <v>2</v>
      </c>
      <c r="AJ1287">
        <v>0</v>
      </c>
      <c r="AK1287" t="s">
        <v>500</v>
      </c>
      <c r="AL1287">
        <v>31.923480000000001</v>
      </c>
      <c r="AM1287" t="s">
        <v>631</v>
      </c>
      <c r="AN1287">
        <v>-100.969291</v>
      </c>
      <c r="AQ1287" t="s">
        <v>129</v>
      </c>
      <c r="AR1287">
        <v>0</v>
      </c>
      <c r="AS1287">
        <v>0</v>
      </c>
      <c r="AT1287">
        <v>64</v>
      </c>
      <c r="BB1287" t="str">
        <f t="shared" si="145"/>
        <v>1200</v>
      </c>
      <c r="BC1287">
        <v>1</v>
      </c>
      <c r="BD1287" t="str">
        <f t="shared" si="141"/>
        <v xml:space="preserve">N745MB  </v>
      </c>
      <c r="BE1287">
        <v>1</v>
      </c>
      <c r="BG1287">
        <v>0</v>
      </c>
      <c r="BH1287">
        <v>0</v>
      </c>
      <c r="BI1287">
        <v>0</v>
      </c>
      <c r="BL1287" t="s">
        <v>130</v>
      </c>
      <c r="BM1287">
        <v>1</v>
      </c>
      <c r="BN1287">
        <v>0</v>
      </c>
      <c r="BO1287">
        <v>0</v>
      </c>
      <c r="BP1287">
        <v>0</v>
      </c>
      <c r="BT1287">
        <v>0</v>
      </c>
      <c r="BU1287">
        <v>0</v>
      </c>
      <c r="CE1287" t="str">
        <f>"20:28:44.975"</f>
        <v>20:28:44.975</v>
      </c>
      <c r="CF1287">
        <v>975175320</v>
      </c>
      <c r="CS1287">
        <v>0</v>
      </c>
      <c r="CT1287">
        <v>2</v>
      </c>
      <c r="CU1287">
        <v>0</v>
      </c>
      <c r="CV1287">
        <v>2</v>
      </c>
      <c r="CW1287">
        <v>0</v>
      </c>
      <c r="CX1287">
        <v>3</v>
      </c>
      <c r="CY1287">
        <v>7</v>
      </c>
      <c r="CZ1287" t="s">
        <v>131</v>
      </c>
      <c r="DA1287">
        <v>116</v>
      </c>
      <c r="DB1287">
        <v>0</v>
      </c>
      <c r="DC1287" t="s">
        <v>132</v>
      </c>
      <c r="DD1287" t="s">
        <v>133</v>
      </c>
      <c r="DG1287">
        <v>14807350</v>
      </c>
      <c r="DI1287">
        <v>0</v>
      </c>
      <c r="DJ1287">
        <v>1</v>
      </c>
      <c r="DK1287">
        <v>1</v>
      </c>
      <c r="DL1287">
        <v>0</v>
      </c>
      <c r="DM1287">
        <v>0</v>
      </c>
      <c r="DN1287">
        <v>0</v>
      </c>
      <c r="DO1287">
        <v>0</v>
      </c>
      <c r="DP1287">
        <v>1</v>
      </c>
      <c r="DQ1287">
        <v>0</v>
      </c>
      <c r="DR1287">
        <v>0</v>
      </c>
      <c r="DS1287">
        <v>1</v>
      </c>
    </row>
    <row r="1288" spans="1:123" x14ac:dyDescent="0.25">
      <c r="A1288" t="str">
        <f>"11/29/2023 20:28:45.384"</f>
        <v>11/29/2023 20:28:45.384</v>
      </c>
      <c r="C1288" t="str">
        <f t="shared" si="140"/>
        <v>FFDF53C0</v>
      </c>
      <c r="D1288" t="s">
        <v>123</v>
      </c>
      <c r="E1288">
        <v>1</v>
      </c>
      <c r="F1288">
        <v>1001</v>
      </c>
      <c r="G1288" t="s">
        <v>134</v>
      </c>
      <c r="J1288" t="s">
        <v>125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>"20:28:44.969"</f>
        <v>20:28:44.969</v>
      </c>
      <c r="T1288" t="str">
        <f>"20:28:44.669"</f>
        <v>20:28:44.669</v>
      </c>
      <c r="U1288" t="str">
        <f t="shared" si="144"/>
        <v>AA0632</v>
      </c>
      <c r="V1288">
        <v>0</v>
      </c>
      <c r="W1288">
        <v>0</v>
      </c>
      <c r="X1288">
        <v>2</v>
      </c>
      <c r="Y1288">
        <v>0</v>
      </c>
      <c r="AA1288">
        <v>0</v>
      </c>
      <c r="AB1288">
        <v>9</v>
      </c>
      <c r="AC1288">
        <v>3</v>
      </c>
      <c r="AD1288">
        <v>0</v>
      </c>
      <c r="AE1288">
        <v>10</v>
      </c>
      <c r="AF1288" t="s">
        <v>126</v>
      </c>
      <c r="AG1288">
        <v>0</v>
      </c>
      <c r="AH1288">
        <v>0</v>
      </c>
      <c r="AI1288">
        <v>2</v>
      </c>
      <c r="AJ1288">
        <v>0</v>
      </c>
      <c r="AK1288" t="s">
        <v>500</v>
      </c>
      <c r="AL1288">
        <v>31.923480000000001</v>
      </c>
      <c r="AM1288" t="s">
        <v>631</v>
      </c>
      <c r="AN1288">
        <v>-100.969291</v>
      </c>
      <c r="AQ1288" t="s">
        <v>129</v>
      </c>
      <c r="AR1288">
        <v>0</v>
      </c>
      <c r="AS1288">
        <v>0</v>
      </c>
      <c r="AT1288">
        <v>64</v>
      </c>
      <c r="BB1288" t="str">
        <f t="shared" si="145"/>
        <v>1200</v>
      </c>
      <c r="BC1288">
        <v>1</v>
      </c>
      <c r="BD1288" t="str">
        <f t="shared" si="141"/>
        <v xml:space="preserve">N745MB  </v>
      </c>
      <c r="BE1288">
        <v>1</v>
      </c>
      <c r="BG1288">
        <v>0</v>
      </c>
      <c r="BH1288">
        <v>0</v>
      </c>
      <c r="BI1288">
        <v>0</v>
      </c>
      <c r="BL1288" t="s">
        <v>130</v>
      </c>
      <c r="BM1288">
        <v>1</v>
      </c>
      <c r="BN1288">
        <v>0</v>
      </c>
      <c r="BO1288">
        <v>0</v>
      </c>
      <c r="BP1288">
        <v>0</v>
      </c>
      <c r="BT1288">
        <v>0</v>
      </c>
      <c r="BU1288">
        <v>0</v>
      </c>
      <c r="CE1288" t="str">
        <f>"20:28:44.975"</f>
        <v>20:28:44.975</v>
      </c>
      <c r="CF1288">
        <v>975175320</v>
      </c>
      <c r="CS1288">
        <v>0</v>
      </c>
      <c r="CT1288">
        <v>2</v>
      </c>
      <c r="CU1288">
        <v>0</v>
      </c>
      <c r="CV1288">
        <v>2</v>
      </c>
      <c r="CW1288">
        <v>0</v>
      </c>
      <c r="CX1288">
        <v>3</v>
      </c>
      <c r="CY1288">
        <v>7</v>
      </c>
      <c r="CZ1288" t="s">
        <v>131</v>
      </c>
      <c r="DA1288">
        <v>116</v>
      </c>
      <c r="DB1288">
        <v>0</v>
      </c>
      <c r="DC1288" t="s">
        <v>132</v>
      </c>
      <c r="DD1288" t="s">
        <v>133</v>
      </c>
      <c r="DG1288">
        <v>14807350</v>
      </c>
      <c r="DI1288">
        <v>0</v>
      </c>
      <c r="DJ1288">
        <v>1</v>
      </c>
      <c r="DK1288">
        <v>1</v>
      </c>
      <c r="DL1288">
        <v>0</v>
      </c>
      <c r="DM1288">
        <v>0</v>
      </c>
      <c r="DN1288">
        <v>0</v>
      </c>
      <c r="DO1288">
        <v>0</v>
      </c>
      <c r="DP1288">
        <v>1</v>
      </c>
      <c r="DQ1288">
        <v>0</v>
      </c>
      <c r="DR1288">
        <v>0</v>
      </c>
      <c r="DS1288">
        <v>1</v>
      </c>
    </row>
    <row r="1289" spans="1:123" x14ac:dyDescent="0.25">
      <c r="A1289" t="str">
        <f>"11/29/2023 20:28:45.384"</f>
        <v>11/29/2023 20:28:45.384</v>
      </c>
      <c r="C1289" t="str">
        <f t="shared" si="140"/>
        <v>FFDF53C0</v>
      </c>
      <c r="D1289" t="s">
        <v>138</v>
      </c>
      <c r="E1289">
        <v>3</v>
      </c>
      <c r="H1289">
        <v>160</v>
      </c>
      <c r="I1289" t="s">
        <v>124</v>
      </c>
      <c r="J1289" t="s">
        <v>139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>"20:28:44.969"</f>
        <v>20:28:44.969</v>
      </c>
      <c r="T1289" t="str">
        <f>"20:28:44.669"</f>
        <v>20:28:44.669</v>
      </c>
      <c r="U1289" t="str">
        <f t="shared" si="144"/>
        <v>AA0632</v>
      </c>
      <c r="V1289">
        <v>0</v>
      </c>
      <c r="W1289">
        <v>0</v>
      </c>
      <c r="X1289">
        <v>2</v>
      </c>
      <c r="Y1289">
        <v>0</v>
      </c>
      <c r="AA1289">
        <v>0</v>
      </c>
      <c r="AB1289">
        <v>9</v>
      </c>
      <c r="AC1289">
        <v>3</v>
      </c>
      <c r="AD1289">
        <v>0</v>
      </c>
      <c r="AE1289">
        <v>10</v>
      </c>
      <c r="AF1289" t="s">
        <v>126</v>
      </c>
      <c r="AG1289">
        <v>0</v>
      </c>
      <c r="AH1289">
        <v>0</v>
      </c>
      <c r="AI1289">
        <v>2</v>
      </c>
      <c r="AJ1289">
        <v>0</v>
      </c>
      <c r="AK1289" t="s">
        <v>500</v>
      </c>
      <c r="AL1289">
        <v>31.923480000000001</v>
      </c>
      <c r="AM1289" t="s">
        <v>631</v>
      </c>
      <c r="AN1289">
        <v>-100.969291</v>
      </c>
      <c r="AQ1289" t="s">
        <v>129</v>
      </c>
      <c r="AR1289">
        <v>0</v>
      </c>
      <c r="AS1289">
        <v>0</v>
      </c>
      <c r="AT1289">
        <v>64</v>
      </c>
      <c r="BB1289" t="str">
        <f t="shared" si="145"/>
        <v>1200</v>
      </c>
      <c r="BC1289">
        <v>1</v>
      </c>
      <c r="BD1289" t="str">
        <f t="shared" si="141"/>
        <v xml:space="preserve">N745MB  </v>
      </c>
      <c r="BE1289">
        <v>1</v>
      </c>
      <c r="BG1289">
        <v>0</v>
      </c>
      <c r="BH1289">
        <v>0</v>
      </c>
      <c r="BI1289">
        <v>0</v>
      </c>
      <c r="BL1289" t="s">
        <v>130</v>
      </c>
      <c r="BM1289">
        <v>1</v>
      </c>
      <c r="BN1289">
        <v>0</v>
      </c>
      <c r="BO1289">
        <v>0</v>
      </c>
      <c r="BP1289">
        <v>0</v>
      </c>
      <c r="BT1289">
        <v>0</v>
      </c>
      <c r="BU1289">
        <v>0</v>
      </c>
      <c r="CE1289" t="str">
        <f>"20:28:44.975"</f>
        <v>20:28:44.975</v>
      </c>
      <c r="CF1289">
        <v>975175320</v>
      </c>
      <c r="CS1289">
        <v>0</v>
      </c>
      <c r="CT1289">
        <v>2</v>
      </c>
      <c r="CU1289">
        <v>0</v>
      </c>
      <c r="CV1289">
        <v>2</v>
      </c>
      <c r="CW1289">
        <v>0</v>
      </c>
      <c r="CX1289">
        <v>3</v>
      </c>
      <c r="CY1289">
        <v>7</v>
      </c>
      <c r="CZ1289" t="s">
        <v>131</v>
      </c>
      <c r="DA1289">
        <v>116</v>
      </c>
      <c r="DB1289">
        <v>0</v>
      </c>
      <c r="DC1289" t="s">
        <v>132</v>
      </c>
      <c r="DD1289" t="s">
        <v>133</v>
      </c>
      <c r="DG1289">
        <v>14807350</v>
      </c>
      <c r="DI1289">
        <v>0</v>
      </c>
      <c r="DJ1289">
        <v>1</v>
      </c>
      <c r="DK1289">
        <v>1</v>
      </c>
      <c r="DL1289">
        <v>0</v>
      </c>
      <c r="DM1289">
        <v>0</v>
      </c>
      <c r="DN1289">
        <v>0</v>
      </c>
      <c r="DO1289">
        <v>0</v>
      </c>
      <c r="DP1289">
        <v>1</v>
      </c>
      <c r="DQ1289">
        <v>0</v>
      </c>
      <c r="DR1289">
        <v>0</v>
      </c>
      <c r="DS1289">
        <v>1</v>
      </c>
    </row>
    <row r="1290" spans="1:123" x14ac:dyDescent="0.25">
      <c r="A1290" t="str">
        <f>"11/29/2023 20:28:47.103"</f>
        <v>11/29/2023 20:28:47.103</v>
      </c>
      <c r="C1290" t="str">
        <f t="shared" si="140"/>
        <v>FFDF53C0</v>
      </c>
      <c r="D1290" t="s">
        <v>138</v>
      </c>
      <c r="E1290">
        <v>3</v>
      </c>
      <c r="H1290">
        <v>160</v>
      </c>
      <c r="I1290" t="s">
        <v>124</v>
      </c>
      <c r="J1290" t="s">
        <v>139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 t="shared" ref="S1290:T1292" si="146">"20:28:46.602"</f>
        <v>20:28:46.602</v>
      </c>
      <c r="T1290" t="str">
        <f t="shared" si="146"/>
        <v>20:28:46.602</v>
      </c>
      <c r="U1290" t="str">
        <f t="shared" si="144"/>
        <v>AA0632</v>
      </c>
      <c r="V1290">
        <v>0</v>
      </c>
      <c r="W1290">
        <v>0</v>
      </c>
      <c r="X1290">
        <v>2</v>
      </c>
      <c r="Y1290">
        <v>0</v>
      </c>
      <c r="AA1290">
        <v>0</v>
      </c>
      <c r="AB1290">
        <v>9</v>
      </c>
      <c r="AC1290">
        <v>3</v>
      </c>
      <c r="AD1290">
        <v>0</v>
      </c>
      <c r="AE1290">
        <v>10</v>
      </c>
      <c r="AF1290" t="s">
        <v>126</v>
      </c>
      <c r="AG1290">
        <v>0</v>
      </c>
      <c r="AH1290">
        <v>0</v>
      </c>
      <c r="AI1290">
        <v>2</v>
      </c>
      <c r="AJ1290">
        <v>0</v>
      </c>
      <c r="AK1290" t="s">
        <v>500</v>
      </c>
      <c r="AL1290">
        <v>31.923480000000001</v>
      </c>
      <c r="AM1290" t="s">
        <v>631</v>
      </c>
      <c r="AN1290">
        <v>-100.969291</v>
      </c>
      <c r="AQ1290" t="s">
        <v>129</v>
      </c>
      <c r="AR1290">
        <v>1</v>
      </c>
      <c r="AS1290">
        <v>0</v>
      </c>
      <c r="AT1290">
        <v>64</v>
      </c>
      <c r="BB1290" t="str">
        <f t="shared" si="145"/>
        <v>1200</v>
      </c>
      <c r="BC1290">
        <v>1</v>
      </c>
      <c r="BD1290" t="str">
        <f t="shared" si="141"/>
        <v xml:space="preserve">N745MB  </v>
      </c>
      <c r="BE1290">
        <v>1</v>
      </c>
      <c r="BG1290">
        <v>0</v>
      </c>
      <c r="BH1290">
        <v>0</v>
      </c>
      <c r="BI1290">
        <v>0</v>
      </c>
      <c r="BL1290" t="s">
        <v>130</v>
      </c>
      <c r="BM1290">
        <v>1</v>
      </c>
      <c r="BN1290">
        <v>0</v>
      </c>
      <c r="BO1290">
        <v>0</v>
      </c>
      <c r="BP1290">
        <v>0</v>
      </c>
      <c r="BT1290">
        <v>0</v>
      </c>
      <c r="BU1290">
        <v>0</v>
      </c>
      <c r="CE1290" t="str">
        <f>"20:28:46.605"</f>
        <v>20:28:46.605</v>
      </c>
      <c r="CF1290">
        <v>605064100</v>
      </c>
      <c r="CS1290">
        <v>0</v>
      </c>
      <c r="CT1290">
        <v>2</v>
      </c>
      <c r="CU1290">
        <v>0</v>
      </c>
      <c r="CV1290">
        <v>2</v>
      </c>
      <c r="CW1290">
        <v>0</v>
      </c>
      <c r="CX1290">
        <v>3</v>
      </c>
      <c r="CY1290">
        <v>7</v>
      </c>
      <c r="CZ1290" t="s">
        <v>131</v>
      </c>
      <c r="DA1290">
        <v>116</v>
      </c>
      <c r="DB1290">
        <v>3</v>
      </c>
      <c r="DC1290" t="s">
        <v>132</v>
      </c>
      <c r="DD1290" t="s">
        <v>133</v>
      </c>
      <c r="DG1290">
        <v>8499308</v>
      </c>
      <c r="DI1290">
        <v>0</v>
      </c>
      <c r="DJ1290">
        <v>1</v>
      </c>
      <c r="DK1290">
        <v>0</v>
      </c>
      <c r="DL1290">
        <v>0</v>
      </c>
      <c r="DM1290">
        <v>0</v>
      </c>
      <c r="DN1290">
        <v>0</v>
      </c>
      <c r="DO1290">
        <v>0</v>
      </c>
      <c r="DP1290">
        <v>1</v>
      </c>
      <c r="DQ1290">
        <v>0</v>
      </c>
      <c r="DR1290">
        <v>0</v>
      </c>
      <c r="DS1290">
        <v>1</v>
      </c>
    </row>
    <row r="1291" spans="1:123" x14ac:dyDescent="0.25">
      <c r="A1291" t="str">
        <f>"11/29/2023 20:28:47.103"</f>
        <v>11/29/2023 20:28:47.103</v>
      </c>
      <c r="C1291" t="str">
        <f t="shared" si="140"/>
        <v>FFDF53C0</v>
      </c>
      <c r="D1291" t="s">
        <v>123</v>
      </c>
      <c r="E1291">
        <v>1</v>
      </c>
      <c r="F1291">
        <v>1001</v>
      </c>
      <c r="G1291" t="s">
        <v>134</v>
      </c>
      <c r="J1291" t="s">
        <v>125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 t="shared" si="146"/>
        <v>20:28:46.602</v>
      </c>
      <c r="T1291" t="str">
        <f t="shared" si="146"/>
        <v>20:28:46.602</v>
      </c>
      <c r="U1291" t="str">
        <f t="shared" si="144"/>
        <v>AA0632</v>
      </c>
      <c r="V1291">
        <v>0</v>
      </c>
      <c r="W1291">
        <v>0</v>
      </c>
      <c r="X1291">
        <v>2</v>
      </c>
      <c r="Y1291">
        <v>0</v>
      </c>
      <c r="AA1291">
        <v>0</v>
      </c>
      <c r="AB1291">
        <v>9</v>
      </c>
      <c r="AC1291">
        <v>3</v>
      </c>
      <c r="AD1291">
        <v>0</v>
      </c>
      <c r="AE1291">
        <v>10</v>
      </c>
      <c r="AF1291" t="s">
        <v>126</v>
      </c>
      <c r="AG1291">
        <v>0</v>
      </c>
      <c r="AH1291">
        <v>0</v>
      </c>
      <c r="AI1291">
        <v>2</v>
      </c>
      <c r="AJ1291">
        <v>0</v>
      </c>
      <c r="AK1291" t="s">
        <v>500</v>
      </c>
      <c r="AL1291">
        <v>31.923480000000001</v>
      </c>
      <c r="AM1291" t="s">
        <v>631</v>
      </c>
      <c r="AN1291">
        <v>-100.969291</v>
      </c>
      <c r="AQ1291" t="s">
        <v>129</v>
      </c>
      <c r="AR1291">
        <v>1</v>
      </c>
      <c r="AS1291">
        <v>0</v>
      </c>
      <c r="AT1291">
        <v>64</v>
      </c>
      <c r="BB1291" t="str">
        <f t="shared" si="145"/>
        <v>1200</v>
      </c>
      <c r="BC1291">
        <v>1</v>
      </c>
      <c r="BD1291" t="str">
        <f t="shared" si="141"/>
        <v xml:space="preserve">N745MB  </v>
      </c>
      <c r="BE1291">
        <v>1</v>
      </c>
      <c r="BG1291">
        <v>0</v>
      </c>
      <c r="BH1291">
        <v>0</v>
      </c>
      <c r="BI1291">
        <v>0</v>
      </c>
      <c r="BL1291" t="s">
        <v>130</v>
      </c>
      <c r="BM1291">
        <v>1</v>
      </c>
      <c r="BN1291">
        <v>0</v>
      </c>
      <c r="BO1291">
        <v>0</v>
      </c>
      <c r="BP1291">
        <v>0</v>
      </c>
      <c r="BT1291">
        <v>0</v>
      </c>
      <c r="BU1291">
        <v>0</v>
      </c>
      <c r="CE1291" t="str">
        <f>"20:28:46.605"</f>
        <v>20:28:46.605</v>
      </c>
      <c r="CF1291">
        <v>605064100</v>
      </c>
      <c r="CS1291">
        <v>0</v>
      </c>
      <c r="CT1291">
        <v>2</v>
      </c>
      <c r="CU1291">
        <v>0</v>
      </c>
      <c r="CV1291">
        <v>2</v>
      </c>
      <c r="CW1291">
        <v>0</v>
      </c>
      <c r="CX1291">
        <v>3</v>
      </c>
      <c r="CY1291">
        <v>7</v>
      </c>
      <c r="CZ1291" t="s">
        <v>131</v>
      </c>
      <c r="DA1291">
        <v>116</v>
      </c>
      <c r="DB1291">
        <v>3</v>
      </c>
      <c r="DC1291" t="s">
        <v>132</v>
      </c>
      <c r="DD1291" t="s">
        <v>133</v>
      </c>
      <c r="DG1291">
        <v>8499308</v>
      </c>
      <c r="DI1291">
        <v>0</v>
      </c>
      <c r="DJ1291">
        <v>1</v>
      </c>
      <c r="DK1291">
        <v>1</v>
      </c>
      <c r="DL1291">
        <v>0</v>
      </c>
      <c r="DM1291">
        <v>0</v>
      </c>
      <c r="DN1291">
        <v>0</v>
      </c>
      <c r="DO1291">
        <v>0</v>
      </c>
      <c r="DP1291">
        <v>1</v>
      </c>
      <c r="DQ1291">
        <v>0</v>
      </c>
      <c r="DR1291">
        <v>0</v>
      </c>
      <c r="DS1291">
        <v>1</v>
      </c>
    </row>
    <row r="1292" spans="1:123" x14ac:dyDescent="0.25">
      <c r="A1292" t="str">
        <f>"11/29/2023 20:28:47.103"</f>
        <v>11/29/2023 20:28:47.103</v>
      </c>
      <c r="C1292" t="str">
        <f t="shared" si="140"/>
        <v>FFDF53C0</v>
      </c>
      <c r="D1292" t="s">
        <v>135</v>
      </c>
      <c r="E1292">
        <v>31</v>
      </c>
      <c r="H1292">
        <v>285</v>
      </c>
      <c r="I1292" t="s">
        <v>136</v>
      </c>
      <c r="J1292" t="s">
        <v>137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 t="shared" si="146"/>
        <v>20:28:46.602</v>
      </c>
      <c r="T1292" t="str">
        <f t="shared" si="146"/>
        <v>20:28:46.602</v>
      </c>
      <c r="U1292" t="str">
        <f t="shared" si="144"/>
        <v>AA0632</v>
      </c>
      <c r="V1292">
        <v>0</v>
      </c>
      <c r="W1292">
        <v>0</v>
      </c>
      <c r="X1292">
        <v>2</v>
      </c>
      <c r="Y1292">
        <v>0</v>
      </c>
      <c r="AA1292">
        <v>0</v>
      </c>
      <c r="AB1292">
        <v>9</v>
      </c>
      <c r="AC1292">
        <v>3</v>
      </c>
      <c r="AD1292">
        <v>0</v>
      </c>
      <c r="AE1292">
        <v>10</v>
      </c>
      <c r="AF1292" t="s">
        <v>126</v>
      </c>
      <c r="AG1292">
        <v>0</v>
      </c>
      <c r="AH1292">
        <v>0</v>
      </c>
      <c r="AI1292">
        <v>2</v>
      </c>
      <c r="AJ1292">
        <v>0</v>
      </c>
      <c r="AK1292" t="s">
        <v>500</v>
      </c>
      <c r="AL1292">
        <v>31.923480000000001</v>
      </c>
      <c r="AM1292" t="s">
        <v>631</v>
      </c>
      <c r="AN1292">
        <v>-100.969291</v>
      </c>
      <c r="AQ1292" t="s">
        <v>129</v>
      </c>
      <c r="AR1292">
        <v>1</v>
      </c>
      <c r="AS1292">
        <v>0</v>
      </c>
      <c r="AT1292">
        <v>64</v>
      </c>
      <c r="BB1292" t="str">
        <f t="shared" si="145"/>
        <v>1200</v>
      </c>
      <c r="BC1292">
        <v>1</v>
      </c>
      <c r="BD1292" t="str">
        <f t="shared" si="141"/>
        <v xml:space="preserve">N745MB  </v>
      </c>
      <c r="BE1292">
        <v>1</v>
      </c>
      <c r="BG1292">
        <v>0</v>
      </c>
      <c r="BH1292">
        <v>0</v>
      </c>
      <c r="BI1292">
        <v>0</v>
      </c>
      <c r="BL1292" t="s">
        <v>130</v>
      </c>
      <c r="BM1292">
        <v>1</v>
      </c>
      <c r="BN1292">
        <v>0</v>
      </c>
      <c r="BO1292">
        <v>0</v>
      </c>
      <c r="BP1292">
        <v>0</v>
      </c>
      <c r="BT1292">
        <v>0</v>
      </c>
      <c r="BU1292">
        <v>0</v>
      </c>
      <c r="CE1292" t="str">
        <f>"20:28:46.605"</f>
        <v>20:28:46.605</v>
      </c>
      <c r="CF1292">
        <v>605064100</v>
      </c>
      <c r="CS1292">
        <v>0</v>
      </c>
      <c r="CT1292">
        <v>2</v>
      </c>
      <c r="CU1292">
        <v>0</v>
      </c>
      <c r="CV1292">
        <v>2</v>
      </c>
      <c r="CW1292">
        <v>0</v>
      </c>
      <c r="CX1292">
        <v>3</v>
      </c>
      <c r="CY1292">
        <v>7</v>
      </c>
      <c r="CZ1292" t="s">
        <v>131</v>
      </c>
      <c r="DA1292">
        <v>116</v>
      </c>
      <c r="DB1292">
        <v>3</v>
      </c>
      <c r="DC1292" t="s">
        <v>132</v>
      </c>
      <c r="DD1292" t="s">
        <v>133</v>
      </c>
      <c r="DG1292">
        <v>8499308</v>
      </c>
      <c r="DI1292">
        <v>0</v>
      </c>
      <c r="DJ1292">
        <v>1</v>
      </c>
      <c r="DK1292">
        <v>0</v>
      </c>
      <c r="DL1292">
        <v>0</v>
      </c>
      <c r="DM1292">
        <v>0</v>
      </c>
      <c r="DN1292">
        <v>0</v>
      </c>
      <c r="DO1292">
        <v>0</v>
      </c>
      <c r="DP1292">
        <v>1</v>
      </c>
      <c r="DQ1292">
        <v>0</v>
      </c>
      <c r="DR1292">
        <v>0</v>
      </c>
      <c r="DS1292">
        <v>1</v>
      </c>
    </row>
    <row r="1293" spans="1:123" x14ac:dyDescent="0.25">
      <c r="A1293" t="str">
        <f>"11/29/2023 20:28:48.571"</f>
        <v>11/29/2023 20:28:48.571</v>
      </c>
      <c r="C1293" t="str">
        <f t="shared" si="140"/>
        <v>FFDF53C0</v>
      </c>
      <c r="D1293" t="s">
        <v>138</v>
      </c>
      <c r="E1293">
        <v>3</v>
      </c>
      <c r="H1293">
        <v>160</v>
      </c>
      <c r="I1293" t="s">
        <v>124</v>
      </c>
      <c r="J1293" t="s">
        <v>139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 t="shared" ref="S1293:T1295" si="147">"20:28:48.156"</f>
        <v>20:28:48.156</v>
      </c>
      <c r="T1293" t="str">
        <f t="shared" si="147"/>
        <v>20:28:48.156</v>
      </c>
      <c r="U1293" t="str">
        <f t="shared" si="144"/>
        <v>AA0632</v>
      </c>
      <c r="V1293">
        <v>0</v>
      </c>
      <c r="W1293">
        <v>0</v>
      </c>
      <c r="X1293">
        <v>2</v>
      </c>
      <c r="Y1293">
        <v>0</v>
      </c>
      <c r="AA1293">
        <v>0</v>
      </c>
      <c r="AB1293">
        <v>9</v>
      </c>
      <c r="AC1293">
        <v>3</v>
      </c>
      <c r="AD1293">
        <v>0</v>
      </c>
      <c r="AE1293">
        <v>10</v>
      </c>
      <c r="AF1293" t="s">
        <v>126</v>
      </c>
      <c r="AG1293">
        <v>0</v>
      </c>
      <c r="AH1293">
        <v>0</v>
      </c>
      <c r="AI1293">
        <v>2</v>
      </c>
      <c r="AJ1293">
        <v>0</v>
      </c>
      <c r="AK1293" t="s">
        <v>500</v>
      </c>
      <c r="AL1293">
        <v>31.923480000000001</v>
      </c>
      <c r="AM1293" t="s">
        <v>631</v>
      </c>
      <c r="AN1293">
        <v>-100.969291</v>
      </c>
      <c r="AQ1293" t="s">
        <v>129</v>
      </c>
      <c r="AR1293">
        <v>0</v>
      </c>
      <c r="AS1293">
        <v>0</v>
      </c>
      <c r="AT1293">
        <v>0</v>
      </c>
      <c r="BB1293" t="str">
        <f t="shared" si="145"/>
        <v>1200</v>
      </c>
      <c r="BC1293">
        <v>1</v>
      </c>
      <c r="BD1293" t="str">
        <f t="shared" si="141"/>
        <v xml:space="preserve">N745MB  </v>
      </c>
      <c r="BE1293">
        <v>1</v>
      </c>
      <c r="BG1293">
        <v>0</v>
      </c>
      <c r="BH1293">
        <v>0</v>
      </c>
      <c r="BI1293">
        <v>0</v>
      </c>
      <c r="BL1293" t="s">
        <v>130</v>
      </c>
      <c r="BM1293">
        <v>1</v>
      </c>
      <c r="BN1293">
        <v>0</v>
      </c>
      <c r="BO1293">
        <v>0</v>
      </c>
      <c r="BP1293">
        <v>0</v>
      </c>
      <c r="BT1293">
        <v>0</v>
      </c>
      <c r="BU1293">
        <v>0</v>
      </c>
      <c r="CE1293" t="str">
        <f>"20:28:48.157"</f>
        <v>20:28:48.157</v>
      </c>
      <c r="CF1293">
        <v>156958923</v>
      </c>
      <c r="CS1293">
        <v>0</v>
      </c>
      <c r="CT1293">
        <v>2</v>
      </c>
      <c r="CU1293">
        <v>0</v>
      </c>
      <c r="CV1293">
        <v>2</v>
      </c>
      <c r="CW1293">
        <v>0</v>
      </c>
      <c r="CX1293">
        <v>4</v>
      </c>
      <c r="CY1293">
        <v>7</v>
      </c>
      <c r="CZ1293" t="s">
        <v>131</v>
      </c>
      <c r="DA1293">
        <v>116</v>
      </c>
      <c r="DB1293">
        <v>0</v>
      </c>
      <c r="DC1293" t="s">
        <v>132</v>
      </c>
      <c r="DD1293" t="s">
        <v>133</v>
      </c>
      <c r="DG1293">
        <v>14809841</v>
      </c>
      <c r="DI1293">
        <v>0</v>
      </c>
      <c r="DJ1293">
        <v>1</v>
      </c>
      <c r="DK1293">
        <v>0</v>
      </c>
      <c r="DL1293">
        <v>0</v>
      </c>
      <c r="DM1293">
        <v>0</v>
      </c>
      <c r="DN1293">
        <v>0</v>
      </c>
      <c r="DO1293">
        <v>0</v>
      </c>
      <c r="DP1293">
        <v>1</v>
      </c>
      <c r="DQ1293">
        <v>0</v>
      </c>
      <c r="DR1293">
        <v>0</v>
      </c>
      <c r="DS1293">
        <v>1</v>
      </c>
    </row>
    <row r="1294" spans="1:123" x14ac:dyDescent="0.25">
      <c r="A1294" t="str">
        <f>"11/29/2023 20:28:48.603"</f>
        <v>11/29/2023 20:28:48.603</v>
      </c>
      <c r="C1294" t="str">
        <f t="shared" si="140"/>
        <v>FFDF53C0</v>
      </c>
      <c r="D1294" t="s">
        <v>135</v>
      </c>
      <c r="E1294">
        <v>31</v>
      </c>
      <c r="H1294">
        <v>285</v>
      </c>
      <c r="I1294" t="s">
        <v>136</v>
      </c>
      <c r="J1294" t="s">
        <v>137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 t="shared" si="147"/>
        <v>20:28:48.156</v>
      </c>
      <c r="T1294" t="str">
        <f t="shared" si="147"/>
        <v>20:28:48.156</v>
      </c>
      <c r="U1294" t="str">
        <f t="shared" si="144"/>
        <v>AA0632</v>
      </c>
      <c r="V1294">
        <v>0</v>
      </c>
      <c r="W1294">
        <v>0</v>
      </c>
      <c r="X1294">
        <v>2</v>
      </c>
      <c r="Y1294">
        <v>0</v>
      </c>
      <c r="AA1294">
        <v>0</v>
      </c>
      <c r="AB1294">
        <v>9</v>
      </c>
      <c r="AC1294">
        <v>3</v>
      </c>
      <c r="AD1294">
        <v>0</v>
      </c>
      <c r="AE1294">
        <v>10</v>
      </c>
      <c r="AF1294" t="s">
        <v>126</v>
      </c>
      <c r="AG1294">
        <v>0</v>
      </c>
      <c r="AH1294">
        <v>0</v>
      </c>
      <c r="AI1294">
        <v>2</v>
      </c>
      <c r="AJ1294">
        <v>0</v>
      </c>
      <c r="AK1294" t="s">
        <v>500</v>
      </c>
      <c r="AL1294">
        <v>31.923480000000001</v>
      </c>
      <c r="AM1294" t="s">
        <v>631</v>
      </c>
      <c r="AN1294">
        <v>-100.969291</v>
      </c>
      <c r="AQ1294" t="s">
        <v>129</v>
      </c>
      <c r="AR1294">
        <v>0</v>
      </c>
      <c r="AS1294">
        <v>0</v>
      </c>
      <c r="AT1294">
        <v>0</v>
      </c>
      <c r="BB1294" t="str">
        <f t="shared" si="145"/>
        <v>1200</v>
      </c>
      <c r="BC1294">
        <v>1</v>
      </c>
      <c r="BD1294" t="str">
        <f t="shared" si="141"/>
        <v xml:space="preserve">N745MB  </v>
      </c>
      <c r="BE1294">
        <v>1</v>
      </c>
      <c r="BG1294">
        <v>0</v>
      </c>
      <c r="BH1294">
        <v>0</v>
      </c>
      <c r="BI1294">
        <v>0</v>
      </c>
      <c r="BL1294" t="s">
        <v>130</v>
      </c>
      <c r="BM1294">
        <v>1</v>
      </c>
      <c r="BN1294">
        <v>0</v>
      </c>
      <c r="BO1294">
        <v>0</v>
      </c>
      <c r="BP1294">
        <v>0</v>
      </c>
      <c r="BT1294">
        <v>0</v>
      </c>
      <c r="BU1294">
        <v>0</v>
      </c>
      <c r="CE1294" t="str">
        <f>"20:28:48.157"</f>
        <v>20:28:48.157</v>
      </c>
      <c r="CF1294">
        <v>156958923</v>
      </c>
      <c r="CS1294">
        <v>0</v>
      </c>
      <c r="CT1294">
        <v>2</v>
      </c>
      <c r="CU1294">
        <v>0</v>
      </c>
      <c r="CV1294">
        <v>2</v>
      </c>
      <c r="CW1294">
        <v>0</v>
      </c>
      <c r="CX1294">
        <v>4</v>
      </c>
      <c r="CY1294">
        <v>7</v>
      </c>
      <c r="CZ1294" t="s">
        <v>131</v>
      </c>
      <c r="DA1294">
        <v>116</v>
      </c>
      <c r="DB1294">
        <v>0</v>
      </c>
      <c r="DC1294" t="s">
        <v>132</v>
      </c>
      <c r="DD1294" t="s">
        <v>133</v>
      </c>
      <c r="DG1294">
        <v>14809841</v>
      </c>
      <c r="DI1294">
        <v>0</v>
      </c>
      <c r="DJ1294">
        <v>1</v>
      </c>
      <c r="DK1294">
        <v>1</v>
      </c>
      <c r="DL1294">
        <v>0</v>
      </c>
      <c r="DM1294">
        <v>0</v>
      </c>
      <c r="DN1294">
        <v>0</v>
      </c>
      <c r="DO1294">
        <v>0</v>
      </c>
      <c r="DP1294">
        <v>1</v>
      </c>
      <c r="DQ1294">
        <v>0</v>
      </c>
      <c r="DR1294">
        <v>0</v>
      </c>
      <c r="DS1294">
        <v>1</v>
      </c>
    </row>
    <row r="1295" spans="1:123" x14ac:dyDescent="0.25">
      <c r="A1295" t="str">
        <f>"11/29/2023 20:28:48.603"</f>
        <v>11/29/2023 20:28:48.603</v>
      </c>
      <c r="C1295" t="str">
        <f t="shared" si="140"/>
        <v>FFDF53C0</v>
      </c>
      <c r="D1295" t="s">
        <v>123</v>
      </c>
      <c r="E1295">
        <v>14</v>
      </c>
      <c r="F1295">
        <v>1014</v>
      </c>
      <c r="G1295" t="s">
        <v>124</v>
      </c>
      <c r="J1295" t="s">
        <v>125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 t="shared" si="147"/>
        <v>20:28:48.156</v>
      </c>
      <c r="T1295" t="str">
        <f t="shared" si="147"/>
        <v>20:28:48.156</v>
      </c>
      <c r="U1295" t="str">
        <f t="shared" si="144"/>
        <v>AA0632</v>
      </c>
      <c r="V1295">
        <v>0</v>
      </c>
      <c r="W1295">
        <v>0</v>
      </c>
      <c r="X1295">
        <v>2</v>
      </c>
      <c r="Y1295">
        <v>0</v>
      </c>
      <c r="AA1295">
        <v>0</v>
      </c>
      <c r="AB1295">
        <v>9</v>
      </c>
      <c r="AC1295">
        <v>3</v>
      </c>
      <c r="AD1295">
        <v>0</v>
      </c>
      <c r="AE1295">
        <v>10</v>
      </c>
      <c r="AF1295" t="s">
        <v>126</v>
      </c>
      <c r="AG1295">
        <v>0</v>
      </c>
      <c r="AH1295">
        <v>0</v>
      </c>
      <c r="AI1295">
        <v>2</v>
      </c>
      <c r="AJ1295">
        <v>0</v>
      </c>
      <c r="AK1295" t="s">
        <v>500</v>
      </c>
      <c r="AL1295">
        <v>31.923480000000001</v>
      </c>
      <c r="AM1295" t="s">
        <v>631</v>
      </c>
      <c r="AN1295">
        <v>-100.969291</v>
      </c>
      <c r="AQ1295" t="s">
        <v>129</v>
      </c>
      <c r="AR1295">
        <v>0</v>
      </c>
      <c r="AS1295">
        <v>0</v>
      </c>
      <c r="AT1295">
        <v>0</v>
      </c>
      <c r="BB1295" t="str">
        <f t="shared" si="145"/>
        <v>1200</v>
      </c>
      <c r="BC1295">
        <v>1</v>
      </c>
      <c r="BD1295" t="str">
        <f t="shared" si="141"/>
        <v xml:space="preserve">N745MB  </v>
      </c>
      <c r="BE1295">
        <v>1</v>
      </c>
      <c r="BG1295">
        <v>0</v>
      </c>
      <c r="BH1295">
        <v>0</v>
      </c>
      <c r="BI1295">
        <v>0</v>
      </c>
      <c r="BL1295" t="s">
        <v>130</v>
      </c>
      <c r="BM1295">
        <v>1</v>
      </c>
      <c r="BN1295">
        <v>0</v>
      </c>
      <c r="BO1295">
        <v>0</v>
      </c>
      <c r="BP1295">
        <v>0</v>
      </c>
      <c r="BT1295">
        <v>0</v>
      </c>
      <c r="BU1295">
        <v>0</v>
      </c>
      <c r="CE1295" t="str">
        <f>"20:28:48.157"</f>
        <v>20:28:48.157</v>
      </c>
      <c r="CF1295">
        <v>156958923</v>
      </c>
      <c r="CS1295">
        <v>0</v>
      </c>
      <c r="CT1295">
        <v>2</v>
      </c>
      <c r="CU1295">
        <v>0</v>
      </c>
      <c r="CV1295">
        <v>2</v>
      </c>
      <c r="CW1295">
        <v>0</v>
      </c>
      <c r="CX1295">
        <v>4</v>
      </c>
      <c r="CY1295">
        <v>7</v>
      </c>
      <c r="CZ1295" t="s">
        <v>131</v>
      </c>
      <c r="DA1295">
        <v>116</v>
      </c>
      <c r="DB1295">
        <v>0</v>
      </c>
      <c r="DC1295" t="s">
        <v>132</v>
      </c>
      <c r="DD1295" t="s">
        <v>133</v>
      </c>
      <c r="DG1295">
        <v>14809841</v>
      </c>
      <c r="DI1295">
        <v>0</v>
      </c>
      <c r="DJ1295">
        <v>1</v>
      </c>
      <c r="DK1295">
        <v>1</v>
      </c>
      <c r="DL1295">
        <v>0</v>
      </c>
      <c r="DM1295">
        <v>0</v>
      </c>
      <c r="DN1295">
        <v>0</v>
      </c>
      <c r="DO1295">
        <v>0</v>
      </c>
      <c r="DP1295">
        <v>1</v>
      </c>
      <c r="DQ1295">
        <v>0</v>
      </c>
      <c r="DR1295">
        <v>0</v>
      </c>
      <c r="DS1295">
        <v>1</v>
      </c>
    </row>
    <row r="1296" spans="1:123" x14ac:dyDescent="0.25">
      <c r="A1296" t="str">
        <f>"11/29/2023 20:28:50.165"</f>
        <v>11/29/2023 20:28:50.165</v>
      </c>
      <c r="C1296" t="str">
        <f t="shared" ref="C1296:C1319" si="148">"FFDF53C0"</f>
        <v>FFDF53C0</v>
      </c>
      <c r="D1296" t="s">
        <v>138</v>
      </c>
      <c r="E1296">
        <v>3</v>
      </c>
      <c r="H1296">
        <v>160</v>
      </c>
      <c r="I1296" t="s">
        <v>124</v>
      </c>
      <c r="J1296" t="s">
        <v>139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>"20:28:49.680"</f>
        <v>20:28:49.680</v>
      </c>
      <c r="T1296" t="str">
        <f>"20:28:49.580"</f>
        <v>20:28:49.580</v>
      </c>
      <c r="U1296" t="str">
        <f t="shared" si="144"/>
        <v>AA0632</v>
      </c>
      <c r="V1296">
        <v>0</v>
      </c>
      <c r="W1296">
        <v>0</v>
      </c>
      <c r="X1296">
        <v>2</v>
      </c>
      <c r="Y1296">
        <v>0</v>
      </c>
      <c r="AA1296">
        <v>0</v>
      </c>
      <c r="AB1296">
        <v>9</v>
      </c>
      <c r="AC1296">
        <v>3</v>
      </c>
      <c r="AD1296">
        <v>0</v>
      </c>
      <c r="AE1296">
        <v>10</v>
      </c>
      <c r="AF1296" t="s">
        <v>126</v>
      </c>
      <c r="AG1296">
        <v>0</v>
      </c>
      <c r="AH1296">
        <v>0</v>
      </c>
      <c r="AI1296">
        <v>2</v>
      </c>
      <c r="AJ1296">
        <v>0</v>
      </c>
      <c r="AK1296" t="s">
        <v>500</v>
      </c>
      <c r="AL1296">
        <v>31.923480000000001</v>
      </c>
      <c r="AM1296" t="s">
        <v>631</v>
      </c>
      <c r="AN1296">
        <v>-100.969291</v>
      </c>
      <c r="AQ1296" t="s">
        <v>129</v>
      </c>
      <c r="AR1296">
        <v>0</v>
      </c>
      <c r="AS1296">
        <v>0</v>
      </c>
      <c r="AT1296">
        <v>0</v>
      </c>
      <c r="BB1296" t="str">
        <f t="shared" si="145"/>
        <v>1200</v>
      </c>
      <c r="BC1296">
        <v>1</v>
      </c>
      <c r="BD1296" t="str">
        <f t="shared" ref="BD1296:BD1319" si="149">"N745MB  "</f>
        <v xml:space="preserve">N745MB  </v>
      </c>
      <c r="BE1296">
        <v>1</v>
      </c>
      <c r="BG1296">
        <v>0</v>
      </c>
      <c r="BH1296">
        <v>0</v>
      </c>
      <c r="BI1296">
        <v>0</v>
      </c>
      <c r="BL1296" t="s">
        <v>130</v>
      </c>
      <c r="BM1296">
        <v>1</v>
      </c>
      <c r="BN1296">
        <v>0</v>
      </c>
      <c r="BO1296">
        <v>0</v>
      </c>
      <c r="BP1296">
        <v>0</v>
      </c>
      <c r="BT1296">
        <v>0</v>
      </c>
      <c r="BU1296">
        <v>0</v>
      </c>
      <c r="CE1296" t="str">
        <f>"20:28:49.685"</f>
        <v>20:28:49.685</v>
      </c>
      <c r="CF1296">
        <v>684857979</v>
      </c>
      <c r="CS1296">
        <v>0</v>
      </c>
      <c r="CT1296">
        <v>2</v>
      </c>
      <c r="CU1296">
        <v>0</v>
      </c>
      <c r="CV1296">
        <v>2</v>
      </c>
      <c r="CW1296">
        <v>0</v>
      </c>
      <c r="CX1296">
        <v>4</v>
      </c>
      <c r="CY1296">
        <v>7</v>
      </c>
      <c r="CZ1296" t="s">
        <v>131</v>
      </c>
      <c r="DA1296">
        <v>116</v>
      </c>
      <c r="DB1296">
        <v>0</v>
      </c>
      <c r="DC1296" t="s">
        <v>132</v>
      </c>
      <c r="DD1296" t="s">
        <v>133</v>
      </c>
      <c r="DG1296">
        <v>14811025</v>
      </c>
      <c r="DI1296">
        <v>0</v>
      </c>
      <c r="DJ1296">
        <v>1</v>
      </c>
      <c r="DK1296">
        <v>0</v>
      </c>
      <c r="DL1296">
        <v>0</v>
      </c>
      <c r="DM1296">
        <v>0</v>
      </c>
      <c r="DN1296">
        <v>0</v>
      </c>
      <c r="DO1296">
        <v>0</v>
      </c>
      <c r="DP1296">
        <v>1</v>
      </c>
      <c r="DQ1296">
        <v>0</v>
      </c>
      <c r="DR1296">
        <v>0</v>
      </c>
      <c r="DS1296">
        <v>1</v>
      </c>
    </row>
    <row r="1297" spans="1:123" x14ac:dyDescent="0.25">
      <c r="A1297" t="str">
        <f>"11/29/2023 20:28:50.165"</f>
        <v>11/29/2023 20:28:50.165</v>
      </c>
      <c r="C1297" t="str">
        <f t="shared" si="148"/>
        <v>FFDF53C0</v>
      </c>
      <c r="D1297" t="s">
        <v>135</v>
      </c>
      <c r="E1297">
        <v>31</v>
      </c>
      <c r="H1297">
        <v>285</v>
      </c>
      <c r="I1297" t="s">
        <v>136</v>
      </c>
      <c r="J1297" t="s">
        <v>137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>"20:28:49.680"</f>
        <v>20:28:49.680</v>
      </c>
      <c r="T1297" t="str">
        <f>"20:28:49.580"</f>
        <v>20:28:49.580</v>
      </c>
      <c r="U1297" t="str">
        <f t="shared" si="144"/>
        <v>AA0632</v>
      </c>
      <c r="V1297">
        <v>0</v>
      </c>
      <c r="W1297">
        <v>0</v>
      </c>
      <c r="X1297">
        <v>2</v>
      </c>
      <c r="Y1297">
        <v>0</v>
      </c>
      <c r="AA1297">
        <v>0</v>
      </c>
      <c r="AB1297">
        <v>9</v>
      </c>
      <c r="AC1297">
        <v>3</v>
      </c>
      <c r="AD1297">
        <v>0</v>
      </c>
      <c r="AE1297">
        <v>10</v>
      </c>
      <c r="AF1297" t="s">
        <v>126</v>
      </c>
      <c r="AG1297">
        <v>0</v>
      </c>
      <c r="AH1297">
        <v>0</v>
      </c>
      <c r="AI1297">
        <v>2</v>
      </c>
      <c r="AJ1297">
        <v>0</v>
      </c>
      <c r="AK1297" t="s">
        <v>500</v>
      </c>
      <c r="AL1297">
        <v>31.923480000000001</v>
      </c>
      <c r="AM1297" t="s">
        <v>631</v>
      </c>
      <c r="AN1297">
        <v>-100.969291</v>
      </c>
      <c r="AQ1297" t="s">
        <v>129</v>
      </c>
      <c r="AR1297">
        <v>0</v>
      </c>
      <c r="AS1297">
        <v>0</v>
      </c>
      <c r="AT1297">
        <v>0</v>
      </c>
      <c r="BB1297" t="str">
        <f t="shared" si="145"/>
        <v>1200</v>
      </c>
      <c r="BC1297">
        <v>1</v>
      </c>
      <c r="BD1297" t="str">
        <f t="shared" si="149"/>
        <v xml:space="preserve">N745MB  </v>
      </c>
      <c r="BE1297">
        <v>1</v>
      </c>
      <c r="BG1297">
        <v>0</v>
      </c>
      <c r="BH1297">
        <v>0</v>
      </c>
      <c r="BI1297">
        <v>0</v>
      </c>
      <c r="BL1297" t="s">
        <v>130</v>
      </c>
      <c r="BM1297">
        <v>1</v>
      </c>
      <c r="BN1297">
        <v>0</v>
      </c>
      <c r="BO1297">
        <v>0</v>
      </c>
      <c r="BP1297">
        <v>0</v>
      </c>
      <c r="BT1297">
        <v>0</v>
      </c>
      <c r="BU1297">
        <v>0</v>
      </c>
      <c r="CE1297" t="str">
        <f>"20:28:49.685"</f>
        <v>20:28:49.685</v>
      </c>
      <c r="CF1297">
        <v>684857979</v>
      </c>
      <c r="CS1297">
        <v>0</v>
      </c>
      <c r="CT1297">
        <v>2</v>
      </c>
      <c r="CU1297">
        <v>0</v>
      </c>
      <c r="CV1297">
        <v>2</v>
      </c>
      <c r="CW1297">
        <v>0</v>
      </c>
      <c r="CX1297">
        <v>4</v>
      </c>
      <c r="CY1297">
        <v>7</v>
      </c>
      <c r="CZ1297" t="s">
        <v>131</v>
      </c>
      <c r="DA1297">
        <v>116</v>
      </c>
      <c r="DB1297">
        <v>0</v>
      </c>
      <c r="DC1297" t="s">
        <v>132</v>
      </c>
      <c r="DD1297" t="s">
        <v>133</v>
      </c>
      <c r="DG1297">
        <v>14811025</v>
      </c>
      <c r="DI1297">
        <v>0</v>
      </c>
      <c r="DJ1297">
        <v>1</v>
      </c>
      <c r="DK1297">
        <v>1</v>
      </c>
      <c r="DL1297">
        <v>0</v>
      </c>
      <c r="DM1297">
        <v>0</v>
      </c>
      <c r="DN1297">
        <v>0</v>
      </c>
      <c r="DO1297">
        <v>0</v>
      </c>
      <c r="DP1297">
        <v>1</v>
      </c>
      <c r="DQ1297">
        <v>0</v>
      </c>
      <c r="DR1297">
        <v>0</v>
      </c>
      <c r="DS1297">
        <v>1</v>
      </c>
    </row>
    <row r="1298" spans="1:123" x14ac:dyDescent="0.25">
      <c r="A1298" t="str">
        <f>"11/29/2023 20:28:50.165"</f>
        <v>11/29/2023 20:28:50.165</v>
      </c>
      <c r="C1298" t="str">
        <f t="shared" si="148"/>
        <v>FFDF53C0</v>
      </c>
      <c r="D1298" t="s">
        <v>123</v>
      </c>
      <c r="E1298">
        <v>14</v>
      </c>
      <c r="F1298">
        <v>1014</v>
      </c>
      <c r="G1298" t="s">
        <v>124</v>
      </c>
      <c r="J1298" t="s">
        <v>125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>"20:28:49.680"</f>
        <v>20:28:49.680</v>
      </c>
      <c r="T1298" t="str">
        <f>"20:28:49.580"</f>
        <v>20:28:49.580</v>
      </c>
      <c r="U1298" t="str">
        <f t="shared" si="144"/>
        <v>AA0632</v>
      </c>
      <c r="V1298">
        <v>0</v>
      </c>
      <c r="W1298">
        <v>0</v>
      </c>
      <c r="X1298">
        <v>2</v>
      </c>
      <c r="Y1298">
        <v>0</v>
      </c>
      <c r="AA1298">
        <v>0</v>
      </c>
      <c r="AB1298">
        <v>9</v>
      </c>
      <c r="AC1298">
        <v>3</v>
      </c>
      <c r="AD1298">
        <v>0</v>
      </c>
      <c r="AE1298">
        <v>10</v>
      </c>
      <c r="AF1298" t="s">
        <v>126</v>
      </c>
      <c r="AG1298">
        <v>0</v>
      </c>
      <c r="AH1298">
        <v>0</v>
      </c>
      <c r="AI1298">
        <v>2</v>
      </c>
      <c r="AJ1298">
        <v>0</v>
      </c>
      <c r="AK1298" t="s">
        <v>500</v>
      </c>
      <c r="AL1298">
        <v>31.923480000000001</v>
      </c>
      <c r="AM1298" t="s">
        <v>631</v>
      </c>
      <c r="AN1298">
        <v>-100.969291</v>
      </c>
      <c r="AQ1298" t="s">
        <v>129</v>
      </c>
      <c r="AR1298">
        <v>0</v>
      </c>
      <c r="AS1298">
        <v>0</v>
      </c>
      <c r="AT1298">
        <v>0</v>
      </c>
      <c r="BB1298" t="str">
        <f t="shared" si="145"/>
        <v>1200</v>
      </c>
      <c r="BC1298">
        <v>1</v>
      </c>
      <c r="BD1298" t="str">
        <f t="shared" si="149"/>
        <v xml:space="preserve">N745MB  </v>
      </c>
      <c r="BE1298">
        <v>1</v>
      </c>
      <c r="BG1298">
        <v>0</v>
      </c>
      <c r="BH1298">
        <v>0</v>
      </c>
      <c r="BI1298">
        <v>0</v>
      </c>
      <c r="BL1298" t="s">
        <v>130</v>
      </c>
      <c r="BM1298">
        <v>1</v>
      </c>
      <c r="BN1298">
        <v>0</v>
      </c>
      <c r="BO1298">
        <v>0</v>
      </c>
      <c r="BP1298">
        <v>0</v>
      </c>
      <c r="BT1298">
        <v>0</v>
      </c>
      <c r="BU1298">
        <v>0</v>
      </c>
      <c r="CE1298" t="str">
        <f>"20:28:49.685"</f>
        <v>20:28:49.685</v>
      </c>
      <c r="CF1298">
        <v>684857979</v>
      </c>
      <c r="CS1298">
        <v>0</v>
      </c>
      <c r="CT1298">
        <v>2</v>
      </c>
      <c r="CU1298">
        <v>0</v>
      </c>
      <c r="CV1298">
        <v>2</v>
      </c>
      <c r="CW1298">
        <v>0</v>
      </c>
      <c r="CX1298">
        <v>4</v>
      </c>
      <c r="CY1298">
        <v>7</v>
      </c>
      <c r="CZ1298" t="s">
        <v>131</v>
      </c>
      <c r="DA1298">
        <v>116</v>
      </c>
      <c r="DB1298">
        <v>0</v>
      </c>
      <c r="DC1298" t="s">
        <v>132</v>
      </c>
      <c r="DD1298" t="s">
        <v>133</v>
      </c>
      <c r="DG1298">
        <v>14811025</v>
      </c>
      <c r="DI1298">
        <v>0</v>
      </c>
      <c r="DJ1298">
        <v>1</v>
      </c>
      <c r="DK1298">
        <v>1</v>
      </c>
      <c r="DL1298">
        <v>0</v>
      </c>
      <c r="DM1298">
        <v>0</v>
      </c>
      <c r="DN1298">
        <v>0</v>
      </c>
      <c r="DO1298">
        <v>0</v>
      </c>
      <c r="DP1298">
        <v>1</v>
      </c>
      <c r="DQ1298">
        <v>0</v>
      </c>
      <c r="DR1298">
        <v>0</v>
      </c>
      <c r="DS1298">
        <v>1</v>
      </c>
    </row>
    <row r="1299" spans="1:123" x14ac:dyDescent="0.25">
      <c r="A1299" t="str">
        <f>"11/29/2023 20:28:50.165"</f>
        <v>11/29/2023 20:28:50.165</v>
      </c>
      <c r="C1299" t="str">
        <f t="shared" si="148"/>
        <v>FFDF53C0</v>
      </c>
      <c r="D1299" t="s">
        <v>123</v>
      </c>
      <c r="E1299">
        <v>1</v>
      </c>
      <c r="F1299">
        <v>1001</v>
      </c>
      <c r="G1299" t="s">
        <v>134</v>
      </c>
      <c r="J1299" t="s">
        <v>125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>"20:28:49.680"</f>
        <v>20:28:49.680</v>
      </c>
      <c r="T1299" t="str">
        <f>"20:28:49.580"</f>
        <v>20:28:49.580</v>
      </c>
      <c r="U1299" t="str">
        <f t="shared" si="144"/>
        <v>AA0632</v>
      </c>
      <c r="V1299">
        <v>0</v>
      </c>
      <c r="W1299">
        <v>0</v>
      </c>
      <c r="X1299">
        <v>2</v>
      </c>
      <c r="Y1299">
        <v>0</v>
      </c>
      <c r="AA1299">
        <v>0</v>
      </c>
      <c r="AB1299">
        <v>9</v>
      </c>
      <c r="AC1299">
        <v>3</v>
      </c>
      <c r="AD1299">
        <v>0</v>
      </c>
      <c r="AE1299">
        <v>10</v>
      </c>
      <c r="AF1299" t="s">
        <v>126</v>
      </c>
      <c r="AG1299">
        <v>0</v>
      </c>
      <c r="AH1299">
        <v>0</v>
      </c>
      <c r="AI1299">
        <v>2</v>
      </c>
      <c r="AJ1299">
        <v>0</v>
      </c>
      <c r="AK1299" t="s">
        <v>500</v>
      </c>
      <c r="AL1299">
        <v>31.923480000000001</v>
      </c>
      <c r="AM1299" t="s">
        <v>631</v>
      </c>
      <c r="AN1299">
        <v>-100.969291</v>
      </c>
      <c r="AQ1299" t="s">
        <v>129</v>
      </c>
      <c r="AR1299">
        <v>0</v>
      </c>
      <c r="AS1299">
        <v>0</v>
      </c>
      <c r="AT1299">
        <v>0</v>
      </c>
      <c r="BB1299" t="str">
        <f t="shared" si="145"/>
        <v>1200</v>
      </c>
      <c r="BC1299">
        <v>1</v>
      </c>
      <c r="BD1299" t="str">
        <f t="shared" si="149"/>
        <v xml:space="preserve">N745MB  </v>
      </c>
      <c r="BE1299">
        <v>1</v>
      </c>
      <c r="BG1299">
        <v>0</v>
      </c>
      <c r="BH1299">
        <v>0</v>
      </c>
      <c r="BI1299">
        <v>0</v>
      </c>
      <c r="BL1299" t="s">
        <v>130</v>
      </c>
      <c r="BM1299">
        <v>1</v>
      </c>
      <c r="BN1299">
        <v>0</v>
      </c>
      <c r="BO1299">
        <v>0</v>
      </c>
      <c r="BP1299">
        <v>0</v>
      </c>
      <c r="BT1299">
        <v>0</v>
      </c>
      <c r="BU1299">
        <v>0</v>
      </c>
      <c r="CE1299" t="str">
        <f>"20:28:49.685"</f>
        <v>20:28:49.685</v>
      </c>
      <c r="CF1299">
        <v>684857979</v>
      </c>
      <c r="CS1299">
        <v>0</v>
      </c>
      <c r="CT1299">
        <v>2</v>
      </c>
      <c r="CU1299">
        <v>0</v>
      </c>
      <c r="CV1299">
        <v>2</v>
      </c>
      <c r="CW1299">
        <v>0</v>
      </c>
      <c r="CX1299">
        <v>4</v>
      </c>
      <c r="CY1299">
        <v>7</v>
      </c>
      <c r="CZ1299" t="s">
        <v>131</v>
      </c>
      <c r="DA1299">
        <v>116</v>
      </c>
      <c r="DB1299">
        <v>0</v>
      </c>
      <c r="DC1299" t="s">
        <v>132</v>
      </c>
      <c r="DD1299" t="s">
        <v>133</v>
      </c>
      <c r="DG1299">
        <v>14811025</v>
      </c>
      <c r="DI1299">
        <v>0</v>
      </c>
      <c r="DJ1299">
        <v>1</v>
      </c>
      <c r="DK1299">
        <v>1</v>
      </c>
      <c r="DL1299">
        <v>0</v>
      </c>
      <c r="DM1299">
        <v>0</v>
      </c>
      <c r="DN1299">
        <v>0</v>
      </c>
      <c r="DO1299">
        <v>0</v>
      </c>
      <c r="DP1299">
        <v>1</v>
      </c>
      <c r="DQ1299">
        <v>0</v>
      </c>
      <c r="DR1299">
        <v>0</v>
      </c>
      <c r="DS1299">
        <v>1</v>
      </c>
    </row>
    <row r="1300" spans="1:123" x14ac:dyDescent="0.25">
      <c r="A1300" t="str">
        <f>"11/29/2023 20:28:51.603"</f>
        <v>11/29/2023 20:28:51.603</v>
      </c>
      <c r="C1300" t="str">
        <f t="shared" si="148"/>
        <v>FFDF53C0</v>
      </c>
      <c r="D1300" t="s">
        <v>123</v>
      </c>
      <c r="E1300">
        <v>14</v>
      </c>
      <c r="F1300">
        <v>1014</v>
      </c>
      <c r="G1300" t="s">
        <v>124</v>
      </c>
      <c r="J1300" t="s">
        <v>125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>"20:28:51.172"</f>
        <v>20:28:51.172</v>
      </c>
      <c r="T1300" t="str">
        <f>"20:28:50.972"</f>
        <v>20:28:50.972</v>
      </c>
      <c r="U1300" t="str">
        <f t="shared" si="144"/>
        <v>AA0632</v>
      </c>
      <c r="V1300">
        <v>0</v>
      </c>
      <c r="W1300">
        <v>0</v>
      </c>
      <c r="X1300">
        <v>2</v>
      </c>
      <c r="Y1300">
        <v>0</v>
      </c>
      <c r="AA1300">
        <v>0</v>
      </c>
      <c r="AB1300">
        <v>9</v>
      </c>
      <c r="AC1300">
        <v>3</v>
      </c>
      <c r="AD1300">
        <v>0</v>
      </c>
      <c r="AE1300">
        <v>10</v>
      </c>
      <c r="AF1300" t="s">
        <v>126</v>
      </c>
      <c r="AG1300">
        <v>0</v>
      </c>
      <c r="AH1300">
        <v>0</v>
      </c>
      <c r="AI1300">
        <v>2</v>
      </c>
      <c r="AJ1300">
        <v>0</v>
      </c>
      <c r="AK1300" t="s">
        <v>500</v>
      </c>
      <c r="AL1300">
        <v>31.923480000000001</v>
      </c>
      <c r="AM1300" t="s">
        <v>631</v>
      </c>
      <c r="AN1300">
        <v>-100.969291</v>
      </c>
      <c r="AQ1300" t="s">
        <v>129</v>
      </c>
      <c r="AR1300">
        <v>0</v>
      </c>
      <c r="AS1300">
        <v>0</v>
      </c>
      <c r="AT1300">
        <v>0</v>
      </c>
      <c r="BB1300" t="str">
        <f t="shared" si="145"/>
        <v>1200</v>
      </c>
      <c r="BC1300">
        <v>1</v>
      </c>
      <c r="BD1300" t="str">
        <f t="shared" si="149"/>
        <v xml:space="preserve">N745MB  </v>
      </c>
      <c r="BE1300">
        <v>1</v>
      </c>
      <c r="BG1300">
        <v>0</v>
      </c>
      <c r="BH1300">
        <v>0</v>
      </c>
      <c r="BI1300">
        <v>0</v>
      </c>
      <c r="BL1300" t="s">
        <v>130</v>
      </c>
      <c r="BM1300">
        <v>1</v>
      </c>
      <c r="BN1300">
        <v>0</v>
      </c>
      <c r="BO1300">
        <v>0</v>
      </c>
      <c r="BP1300">
        <v>0</v>
      </c>
      <c r="BT1300">
        <v>0</v>
      </c>
      <c r="BU1300">
        <v>0</v>
      </c>
      <c r="CE1300" t="str">
        <f>"20:28:51.175"</f>
        <v>20:28:51.175</v>
      </c>
      <c r="CF1300">
        <v>174756089</v>
      </c>
      <c r="CS1300">
        <v>0</v>
      </c>
      <c r="CT1300">
        <v>2</v>
      </c>
      <c r="CU1300">
        <v>0</v>
      </c>
      <c r="CV1300">
        <v>2</v>
      </c>
      <c r="CW1300">
        <v>0</v>
      </c>
      <c r="CX1300">
        <v>3</v>
      </c>
      <c r="CY1300">
        <v>7</v>
      </c>
      <c r="CZ1300" t="s">
        <v>131</v>
      </c>
      <c r="DA1300">
        <v>116</v>
      </c>
      <c r="DB1300">
        <v>0</v>
      </c>
      <c r="DC1300" t="s">
        <v>132</v>
      </c>
      <c r="DD1300" t="s">
        <v>133</v>
      </c>
      <c r="DG1300">
        <v>14812143</v>
      </c>
      <c r="DI1300">
        <v>0</v>
      </c>
      <c r="DJ1300">
        <v>1</v>
      </c>
      <c r="DK1300">
        <v>0</v>
      </c>
      <c r="DL1300">
        <v>0</v>
      </c>
      <c r="DM1300">
        <v>0</v>
      </c>
      <c r="DN1300">
        <v>0</v>
      </c>
      <c r="DO1300">
        <v>0</v>
      </c>
      <c r="DP1300">
        <v>1</v>
      </c>
      <c r="DQ1300">
        <v>0</v>
      </c>
      <c r="DR1300">
        <v>0</v>
      </c>
      <c r="DS1300">
        <v>1</v>
      </c>
    </row>
    <row r="1301" spans="1:123" x14ac:dyDescent="0.25">
      <c r="A1301" t="str">
        <f>"11/29/2023 20:28:51.603"</f>
        <v>11/29/2023 20:28:51.603</v>
      </c>
      <c r="C1301" t="str">
        <f t="shared" si="148"/>
        <v>FFDF53C0</v>
      </c>
      <c r="D1301" t="s">
        <v>135</v>
      </c>
      <c r="E1301">
        <v>31</v>
      </c>
      <c r="H1301">
        <v>285</v>
      </c>
      <c r="I1301" t="s">
        <v>136</v>
      </c>
      <c r="J1301" t="s">
        <v>137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>"20:28:51.172"</f>
        <v>20:28:51.172</v>
      </c>
      <c r="T1301" t="str">
        <f>"20:28:50.972"</f>
        <v>20:28:50.972</v>
      </c>
      <c r="U1301" t="str">
        <f t="shared" si="144"/>
        <v>AA0632</v>
      </c>
      <c r="V1301">
        <v>0</v>
      </c>
      <c r="W1301">
        <v>0</v>
      </c>
      <c r="X1301">
        <v>2</v>
      </c>
      <c r="Y1301">
        <v>0</v>
      </c>
      <c r="AA1301">
        <v>0</v>
      </c>
      <c r="AB1301">
        <v>9</v>
      </c>
      <c r="AC1301">
        <v>3</v>
      </c>
      <c r="AD1301">
        <v>0</v>
      </c>
      <c r="AE1301">
        <v>10</v>
      </c>
      <c r="AF1301" t="s">
        <v>126</v>
      </c>
      <c r="AG1301">
        <v>0</v>
      </c>
      <c r="AH1301">
        <v>0</v>
      </c>
      <c r="AI1301">
        <v>2</v>
      </c>
      <c r="AJ1301">
        <v>0</v>
      </c>
      <c r="AK1301" t="s">
        <v>500</v>
      </c>
      <c r="AL1301">
        <v>31.923480000000001</v>
      </c>
      <c r="AM1301" t="s">
        <v>631</v>
      </c>
      <c r="AN1301">
        <v>-100.969291</v>
      </c>
      <c r="AQ1301" t="s">
        <v>129</v>
      </c>
      <c r="AR1301">
        <v>0</v>
      </c>
      <c r="AS1301">
        <v>0</v>
      </c>
      <c r="AT1301">
        <v>0</v>
      </c>
      <c r="BB1301" t="str">
        <f t="shared" si="145"/>
        <v>1200</v>
      </c>
      <c r="BC1301">
        <v>1</v>
      </c>
      <c r="BD1301" t="str">
        <f t="shared" si="149"/>
        <v xml:space="preserve">N745MB  </v>
      </c>
      <c r="BE1301">
        <v>1</v>
      </c>
      <c r="BG1301">
        <v>0</v>
      </c>
      <c r="BH1301">
        <v>0</v>
      </c>
      <c r="BI1301">
        <v>0</v>
      </c>
      <c r="BL1301" t="s">
        <v>130</v>
      </c>
      <c r="BM1301">
        <v>1</v>
      </c>
      <c r="BN1301">
        <v>0</v>
      </c>
      <c r="BO1301">
        <v>0</v>
      </c>
      <c r="BP1301">
        <v>0</v>
      </c>
      <c r="BT1301">
        <v>0</v>
      </c>
      <c r="BU1301">
        <v>0</v>
      </c>
      <c r="CE1301" t="str">
        <f>"20:28:51.175"</f>
        <v>20:28:51.175</v>
      </c>
      <c r="CF1301">
        <v>174756089</v>
      </c>
      <c r="CS1301">
        <v>0</v>
      </c>
      <c r="CT1301">
        <v>2</v>
      </c>
      <c r="CU1301">
        <v>0</v>
      </c>
      <c r="CV1301">
        <v>2</v>
      </c>
      <c r="CW1301">
        <v>0</v>
      </c>
      <c r="CX1301">
        <v>3</v>
      </c>
      <c r="CY1301">
        <v>7</v>
      </c>
      <c r="CZ1301" t="s">
        <v>131</v>
      </c>
      <c r="DA1301">
        <v>116</v>
      </c>
      <c r="DB1301">
        <v>0</v>
      </c>
      <c r="DC1301" t="s">
        <v>132</v>
      </c>
      <c r="DD1301" t="s">
        <v>133</v>
      </c>
      <c r="DG1301">
        <v>14812143</v>
      </c>
      <c r="DI1301">
        <v>0</v>
      </c>
      <c r="DJ1301">
        <v>1</v>
      </c>
      <c r="DK1301">
        <v>1</v>
      </c>
      <c r="DL1301">
        <v>0</v>
      </c>
      <c r="DM1301">
        <v>0</v>
      </c>
      <c r="DN1301">
        <v>0</v>
      </c>
      <c r="DO1301">
        <v>0</v>
      </c>
      <c r="DP1301">
        <v>1</v>
      </c>
      <c r="DQ1301">
        <v>0</v>
      </c>
      <c r="DR1301">
        <v>0</v>
      </c>
      <c r="DS1301">
        <v>1</v>
      </c>
    </row>
    <row r="1302" spans="1:123" x14ac:dyDescent="0.25">
      <c r="A1302" t="str">
        <f>"11/29/2023 20:28:51.603"</f>
        <v>11/29/2023 20:28:51.603</v>
      </c>
      <c r="C1302" t="str">
        <f t="shared" si="148"/>
        <v>FFDF53C0</v>
      </c>
      <c r="D1302" t="s">
        <v>123</v>
      </c>
      <c r="E1302">
        <v>1</v>
      </c>
      <c r="F1302">
        <v>1001</v>
      </c>
      <c r="G1302" t="s">
        <v>134</v>
      </c>
      <c r="J1302" t="s">
        <v>125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>"20:28:51.172"</f>
        <v>20:28:51.172</v>
      </c>
      <c r="T1302" t="str">
        <f>"20:28:50.972"</f>
        <v>20:28:50.972</v>
      </c>
      <c r="U1302" t="str">
        <f t="shared" si="144"/>
        <v>AA0632</v>
      </c>
      <c r="V1302">
        <v>0</v>
      </c>
      <c r="W1302">
        <v>0</v>
      </c>
      <c r="X1302">
        <v>2</v>
      </c>
      <c r="Y1302">
        <v>0</v>
      </c>
      <c r="AA1302">
        <v>0</v>
      </c>
      <c r="AB1302">
        <v>9</v>
      </c>
      <c r="AC1302">
        <v>3</v>
      </c>
      <c r="AD1302">
        <v>0</v>
      </c>
      <c r="AE1302">
        <v>10</v>
      </c>
      <c r="AF1302" t="s">
        <v>126</v>
      </c>
      <c r="AG1302">
        <v>0</v>
      </c>
      <c r="AH1302">
        <v>0</v>
      </c>
      <c r="AI1302">
        <v>2</v>
      </c>
      <c r="AJ1302">
        <v>0</v>
      </c>
      <c r="AK1302" t="s">
        <v>500</v>
      </c>
      <c r="AL1302">
        <v>31.923480000000001</v>
      </c>
      <c r="AM1302" t="s">
        <v>631</v>
      </c>
      <c r="AN1302">
        <v>-100.969291</v>
      </c>
      <c r="AQ1302" t="s">
        <v>129</v>
      </c>
      <c r="AR1302">
        <v>0</v>
      </c>
      <c r="AS1302">
        <v>0</v>
      </c>
      <c r="AT1302">
        <v>0</v>
      </c>
      <c r="BB1302" t="str">
        <f t="shared" si="145"/>
        <v>1200</v>
      </c>
      <c r="BC1302">
        <v>1</v>
      </c>
      <c r="BD1302" t="str">
        <f t="shared" si="149"/>
        <v xml:space="preserve">N745MB  </v>
      </c>
      <c r="BE1302">
        <v>1</v>
      </c>
      <c r="BG1302">
        <v>0</v>
      </c>
      <c r="BH1302">
        <v>0</v>
      </c>
      <c r="BI1302">
        <v>0</v>
      </c>
      <c r="BL1302" t="s">
        <v>130</v>
      </c>
      <c r="BM1302">
        <v>1</v>
      </c>
      <c r="BN1302">
        <v>0</v>
      </c>
      <c r="BO1302">
        <v>0</v>
      </c>
      <c r="BP1302">
        <v>0</v>
      </c>
      <c r="BT1302">
        <v>0</v>
      </c>
      <c r="BU1302">
        <v>0</v>
      </c>
      <c r="CE1302" t="str">
        <f>"20:28:51.175"</f>
        <v>20:28:51.175</v>
      </c>
      <c r="CF1302">
        <v>174756089</v>
      </c>
      <c r="CS1302">
        <v>0</v>
      </c>
      <c r="CT1302">
        <v>2</v>
      </c>
      <c r="CU1302">
        <v>0</v>
      </c>
      <c r="CV1302">
        <v>2</v>
      </c>
      <c r="CW1302">
        <v>0</v>
      </c>
      <c r="CX1302">
        <v>3</v>
      </c>
      <c r="CY1302">
        <v>7</v>
      </c>
      <c r="CZ1302" t="s">
        <v>131</v>
      </c>
      <c r="DA1302">
        <v>116</v>
      </c>
      <c r="DB1302">
        <v>0</v>
      </c>
      <c r="DC1302" t="s">
        <v>132</v>
      </c>
      <c r="DD1302" t="s">
        <v>133</v>
      </c>
      <c r="DG1302">
        <v>14812143</v>
      </c>
      <c r="DI1302">
        <v>0</v>
      </c>
      <c r="DJ1302">
        <v>1</v>
      </c>
      <c r="DK1302">
        <v>1</v>
      </c>
      <c r="DL1302">
        <v>0</v>
      </c>
      <c r="DM1302">
        <v>0</v>
      </c>
      <c r="DN1302">
        <v>0</v>
      </c>
      <c r="DO1302">
        <v>0</v>
      </c>
      <c r="DP1302">
        <v>1</v>
      </c>
      <c r="DQ1302">
        <v>0</v>
      </c>
      <c r="DR1302">
        <v>0</v>
      </c>
      <c r="DS1302">
        <v>1</v>
      </c>
    </row>
    <row r="1303" spans="1:123" x14ac:dyDescent="0.25">
      <c r="A1303" t="str">
        <f>"11/29/2023 20:28:51.603"</f>
        <v>11/29/2023 20:28:51.603</v>
      </c>
      <c r="C1303" t="str">
        <f t="shared" si="148"/>
        <v>FFDF53C0</v>
      </c>
      <c r="D1303" t="s">
        <v>138</v>
      </c>
      <c r="E1303">
        <v>3</v>
      </c>
      <c r="H1303">
        <v>160</v>
      </c>
      <c r="I1303" t="s">
        <v>124</v>
      </c>
      <c r="J1303" t="s">
        <v>139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>"20:28:51.172"</f>
        <v>20:28:51.172</v>
      </c>
      <c r="T1303" t="str">
        <f>"20:28:50.972"</f>
        <v>20:28:50.972</v>
      </c>
      <c r="U1303" t="str">
        <f t="shared" si="144"/>
        <v>AA0632</v>
      </c>
      <c r="V1303">
        <v>0</v>
      </c>
      <c r="W1303">
        <v>0</v>
      </c>
      <c r="X1303">
        <v>2</v>
      </c>
      <c r="Y1303">
        <v>0</v>
      </c>
      <c r="AA1303">
        <v>0</v>
      </c>
      <c r="AB1303">
        <v>9</v>
      </c>
      <c r="AC1303">
        <v>3</v>
      </c>
      <c r="AD1303">
        <v>0</v>
      </c>
      <c r="AE1303">
        <v>10</v>
      </c>
      <c r="AF1303" t="s">
        <v>126</v>
      </c>
      <c r="AG1303">
        <v>0</v>
      </c>
      <c r="AH1303">
        <v>0</v>
      </c>
      <c r="AI1303">
        <v>2</v>
      </c>
      <c r="AJ1303">
        <v>0</v>
      </c>
      <c r="AK1303" t="s">
        <v>500</v>
      </c>
      <c r="AL1303">
        <v>31.923480000000001</v>
      </c>
      <c r="AM1303" t="s">
        <v>631</v>
      </c>
      <c r="AN1303">
        <v>-100.969291</v>
      </c>
      <c r="AQ1303" t="s">
        <v>129</v>
      </c>
      <c r="AR1303">
        <v>0</v>
      </c>
      <c r="AS1303">
        <v>0</v>
      </c>
      <c r="AT1303">
        <v>0</v>
      </c>
      <c r="BB1303" t="str">
        <f t="shared" si="145"/>
        <v>1200</v>
      </c>
      <c r="BC1303">
        <v>1</v>
      </c>
      <c r="BD1303" t="str">
        <f t="shared" si="149"/>
        <v xml:space="preserve">N745MB  </v>
      </c>
      <c r="BE1303">
        <v>1</v>
      </c>
      <c r="BG1303">
        <v>0</v>
      </c>
      <c r="BH1303">
        <v>0</v>
      </c>
      <c r="BI1303">
        <v>0</v>
      </c>
      <c r="BL1303" t="s">
        <v>130</v>
      </c>
      <c r="BM1303">
        <v>1</v>
      </c>
      <c r="BN1303">
        <v>0</v>
      </c>
      <c r="BO1303">
        <v>0</v>
      </c>
      <c r="BP1303">
        <v>0</v>
      </c>
      <c r="BT1303">
        <v>0</v>
      </c>
      <c r="BU1303">
        <v>0</v>
      </c>
      <c r="CE1303" t="str">
        <f>"20:28:51.175"</f>
        <v>20:28:51.175</v>
      </c>
      <c r="CF1303">
        <v>174756089</v>
      </c>
      <c r="CS1303">
        <v>0</v>
      </c>
      <c r="CT1303">
        <v>2</v>
      </c>
      <c r="CU1303">
        <v>0</v>
      </c>
      <c r="CV1303">
        <v>2</v>
      </c>
      <c r="CW1303">
        <v>0</v>
      </c>
      <c r="CX1303">
        <v>3</v>
      </c>
      <c r="CY1303">
        <v>7</v>
      </c>
      <c r="CZ1303" t="s">
        <v>131</v>
      </c>
      <c r="DA1303">
        <v>116</v>
      </c>
      <c r="DB1303">
        <v>0</v>
      </c>
      <c r="DC1303" t="s">
        <v>132</v>
      </c>
      <c r="DD1303" t="s">
        <v>133</v>
      </c>
      <c r="DG1303">
        <v>14812143</v>
      </c>
      <c r="DI1303">
        <v>0</v>
      </c>
      <c r="DJ1303">
        <v>1</v>
      </c>
      <c r="DK1303">
        <v>1</v>
      </c>
      <c r="DL1303">
        <v>0</v>
      </c>
      <c r="DM1303">
        <v>0</v>
      </c>
      <c r="DN1303">
        <v>0</v>
      </c>
      <c r="DO1303">
        <v>0</v>
      </c>
      <c r="DP1303">
        <v>1</v>
      </c>
      <c r="DQ1303">
        <v>0</v>
      </c>
      <c r="DR1303">
        <v>0</v>
      </c>
      <c r="DS1303">
        <v>1</v>
      </c>
    </row>
    <row r="1304" spans="1:123" x14ac:dyDescent="0.25">
      <c r="A1304" t="str">
        <f>"11/29/2023 20:29:06.134"</f>
        <v>11/29/2023 20:29:06.134</v>
      </c>
      <c r="C1304" t="str">
        <f t="shared" si="148"/>
        <v>FFDF53C0</v>
      </c>
      <c r="D1304" t="s">
        <v>138</v>
      </c>
      <c r="E1304">
        <v>3</v>
      </c>
      <c r="H1304">
        <v>160</v>
      </c>
      <c r="I1304" t="s">
        <v>124</v>
      </c>
      <c r="J1304" t="s">
        <v>139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>"20:29:05.875"</f>
        <v>20:29:05.875</v>
      </c>
      <c r="T1304" t="str">
        <f>"20:29:05.175"</f>
        <v>20:29:05.175</v>
      </c>
      <c r="U1304" t="str">
        <f t="shared" si="144"/>
        <v>AA0632</v>
      </c>
      <c r="V1304">
        <v>0</v>
      </c>
      <c r="W1304">
        <v>0</v>
      </c>
      <c r="X1304">
        <v>2</v>
      </c>
      <c r="Y1304">
        <v>0</v>
      </c>
      <c r="AA1304">
        <v>0</v>
      </c>
      <c r="AB1304">
        <v>9</v>
      </c>
      <c r="AC1304">
        <v>3</v>
      </c>
      <c r="AD1304">
        <v>0</v>
      </c>
      <c r="AE1304">
        <v>10</v>
      </c>
      <c r="AF1304" t="s">
        <v>126</v>
      </c>
      <c r="AG1304">
        <v>0</v>
      </c>
      <c r="AH1304">
        <v>0</v>
      </c>
      <c r="AI1304">
        <v>2</v>
      </c>
      <c r="AJ1304">
        <v>0</v>
      </c>
      <c r="AK1304" t="s">
        <v>500</v>
      </c>
      <c r="AL1304">
        <v>31.923480000000001</v>
      </c>
      <c r="AM1304" t="s">
        <v>631</v>
      </c>
      <c r="AN1304">
        <v>-100.969291</v>
      </c>
      <c r="AQ1304" t="s">
        <v>129</v>
      </c>
      <c r="AR1304">
        <v>0</v>
      </c>
      <c r="AS1304">
        <v>0</v>
      </c>
      <c r="AT1304">
        <v>64</v>
      </c>
      <c r="BB1304" t="str">
        <f t="shared" si="145"/>
        <v>1200</v>
      </c>
      <c r="BC1304">
        <v>1</v>
      </c>
      <c r="BD1304" t="str">
        <f t="shared" si="149"/>
        <v xml:space="preserve">N745MB  </v>
      </c>
      <c r="BE1304">
        <v>1</v>
      </c>
      <c r="BG1304">
        <v>0</v>
      </c>
      <c r="BH1304">
        <v>0</v>
      </c>
      <c r="BI1304">
        <v>0</v>
      </c>
      <c r="BL1304" t="s">
        <v>130</v>
      </c>
      <c r="BM1304">
        <v>1</v>
      </c>
      <c r="BN1304">
        <v>0</v>
      </c>
      <c r="BO1304">
        <v>0</v>
      </c>
      <c r="BP1304">
        <v>0</v>
      </c>
      <c r="BT1304">
        <v>0</v>
      </c>
      <c r="BU1304">
        <v>0</v>
      </c>
      <c r="CE1304" t="str">
        <f>"20:29:05.878"</f>
        <v>20:29:05.878</v>
      </c>
      <c r="CF1304">
        <v>877774366</v>
      </c>
      <c r="CS1304">
        <v>0</v>
      </c>
      <c r="CT1304">
        <v>2</v>
      </c>
      <c r="CU1304">
        <v>0</v>
      </c>
      <c r="CV1304">
        <v>2</v>
      </c>
      <c r="CW1304">
        <v>0</v>
      </c>
      <c r="CX1304">
        <v>1</v>
      </c>
      <c r="CY1304">
        <v>7</v>
      </c>
      <c r="CZ1304" t="s">
        <v>131</v>
      </c>
      <c r="DA1304">
        <v>116</v>
      </c>
      <c r="DB1304">
        <v>0</v>
      </c>
      <c r="DC1304" t="s">
        <v>132</v>
      </c>
      <c r="DD1304" t="s">
        <v>133</v>
      </c>
      <c r="DG1304">
        <v>14823606</v>
      </c>
      <c r="DI1304">
        <v>0</v>
      </c>
      <c r="DJ1304">
        <v>1</v>
      </c>
      <c r="DK1304">
        <v>0</v>
      </c>
      <c r="DL1304">
        <v>0</v>
      </c>
      <c r="DM1304">
        <v>0</v>
      </c>
      <c r="DN1304">
        <v>0</v>
      </c>
      <c r="DO1304">
        <v>0</v>
      </c>
      <c r="DP1304">
        <v>1</v>
      </c>
      <c r="DQ1304">
        <v>0</v>
      </c>
      <c r="DR1304">
        <v>0</v>
      </c>
      <c r="DS1304">
        <v>1</v>
      </c>
    </row>
    <row r="1305" spans="1:123" x14ac:dyDescent="0.25">
      <c r="A1305" t="str">
        <f>"11/29/2023 20:29:06.134"</f>
        <v>11/29/2023 20:29:06.134</v>
      </c>
      <c r="C1305" t="str">
        <f t="shared" si="148"/>
        <v>FFDF53C0</v>
      </c>
      <c r="D1305" t="s">
        <v>135</v>
      </c>
      <c r="E1305">
        <v>31</v>
      </c>
      <c r="H1305">
        <v>285</v>
      </c>
      <c r="I1305" t="s">
        <v>136</v>
      </c>
      <c r="J1305" t="s">
        <v>137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>"20:29:05.875"</f>
        <v>20:29:05.875</v>
      </c>
      <c r="T1305" t="str">
        <f>"20:29:05.175"</f>
        <v>20:29:05.175</v>
      </c>
      <c r="U1305" t="str">
        <f t="shared" si="144"/>
        <v>AA0632</v>
      </c>
      <c r="V1305">
        <v>0</v>
      </c>
      <c r="W1305">
        <v>0</v>
      </c>
      <c r="X1305">
        <v>2</v>
      </c>
      <c r="Y1305">
        <v>0</v>
      </c>
      <c r="AA1305">
        <v>0</v>
      </c>
      <c r="AB1305">
        <v>9</v>
      </c>
      <c r="AC1305">
        <v>3</v>
      </c>
      <c r="AD1305">
        <v>0</v>
      </c>
      <c r="AE1305">
        <v>10</v>
      </c>
      <c r="AF1305" t="s">
        <v>126</v>
      </c>
      <c r="AG1305">
        <v>0</v>
      </c>
      <c r="AH1305">
        <v>0</v>
      </c>
      <c r="AI1305">
        <v>2</v>
      </c>
      <c r="AJ1305">
        <v>0</v>
      </c>
      <c r="AK1305" t="s">
        <v>500</v>
      </c>
      <c r="AL1305">
        <v>31.923480000000001</v>
      </c>
      <c r="AM1305" t="s">
        <v>631</v>
      </c>
      <c r="AN1305">
        <v>-100.969291</v>
      </c>
      <c r="AQ1305" t="s">
        <v>129</v>
      </c>
      <c r="AR1305">
        <v>0</v>
      </c>
      <c r="AS1305">
        <v>0</v>
      </c>
      <c r="AT1305">
        <v>64</v>
      </c>
      <c r="BB1305" t="str">
        <f t="shared" si="145"/>
        <v>1200</v>
      </c>
      <c r="BC1305">
        <v>1</v>
      </c>
      <c r="BD1305" t="str">
        <f t="shared" si="149"/>
        <v xml:space="preserve">N745MB  </v>
      </c>
      <c r="BE1305">
        <v>1</v>
      </c>
      <c r="BG1305">
        <v>0</v>
      </c>
      <c r="BH1305">
        <v>0</v>
      </c>
      <c r="BI1305">
        <v>0</v>
      </c>
      <c r="BL1305" t="s">
        <v>130</v>
      </c>
      <c r="BM1305">
        <v>1</v>
      </c>
      <c r="BN1305">
        <v>0</v>
      </c>
      <c r="BO1305">
        <v>0</v>
      </c>
      <c r="BP1305">
        <v>0</v>
      </c>
      <c r="BT1305">
        <v>0</v>
      </c>
      <c r="BU1305">
        <v>0</v>
      </c>
      <c r="CE1305" t="str">
        <f>"20:29:05.878"</f>
        <v>20:29:05.878</v>
      </c>
      <c r="CF1305">
        <v>877774366</v>
      </c>
      <c r="CS1305">
        <v>0</v>
      </c>
      <c r="CT1305">
        <v>2</v>
      </c>
      <c r="CU1305">
        <v>0</v>
      </c>
      <c r="CV1305">
        <v>2</v>
      </c>
      <c r="CW1305">
        <v>0</v>
      </c>
      <c r="CX1305">
        <v>1</v>
      </c>
      <c r="CY1305">
        <v>7</v>
      </c>
      <c r="CZ1305" t="s">
        <v>131</v>
      </c>
      <c r="DA1305">
        <v>116</v>
      </c>
      <c r="DB1305">
        <v>0</v>
      </c>
      <c r="DC1305" t="s">
        <v>132</v>
      </c>
      <c r="DD1305" t="s">
        <v>133</v>
      </c>
      <c r="DG1305">
        <v>14823606</v>
      </c>
      <c r="DI1305">
        <v>0</v>
      </c>
      <c r="DJ1305">
        <v>1</v>
      </c>
      <c r="DK1305">
        <v>1</v>
      </c>
      <c r="DL1305">
        <v>0</v>
      </c>
      <c r="DM1305">
        <v>0</v>
      </c>
      <c r="DN1305">
        <v>0</v>
      </c>
      <c r="DO1305">
        <v>0</v>
      </c>
      <c r="DP1305">
        <v>1</v>
      </c>
      <c r="DQ1305">
        <v>0</v>
      </c>
      <c r="DR1305">
        <v>0</v>
      </c>
      <c r="DS1305">
        <v>1</v>
      </c>
    </row>
    <row r="1306" spans="1:123" x14ac:dyDescent="0.25">
      <c r="A1306" t="str">
        <f>"11/29/2023 20:29:06.165"</f>
        <v>11/29/2023 20:29:06.165</v>
      </c>
      <c r="C1306" t="str">
        <f t="shared" si="148"/>
        <v>FFDF53C0</v>
      </c>
      <c r="D1306" t="s">
        <v>123</v>
      </c>
      <c r="E1306">
        <v>14</v>
      </c>
      <c r="F1306">
        <v>1014</v>
      </c>
      <c r="G1306" t="s">
        <v>124</v>
      </c>
      <c r="J1306" t="s">
        <v>125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>"20:29:05.875"</f>
        <v>20:29:05.875</v>
      </c>
      <c r="T1306" t="str">
        <f>"20:29:05.175"</f>
        <v>20:29:05.175</v>
      </c>
      <c r="U1306" t="str">
        <f t="shared" si="144"/>
        <v>AA0632</v>
      </c>
      <c r="V1306">
        <v>0</v>
      </c>
      <c r="W1306">
        <v>0</v>
      </c>
      <c r="X1306">
        <v>2</v>
      </c>
      <c r="Y1306">
        <v>0</v>
      </c>
      <c r="AA1306">
        <v>0</v>
      </c>
      <c r="AB1306">
        <v>9</v>
      </c>
      <c r="AC1306">
        <v>3</v>
      </c>
      <c r="AD1306">
        <v>0</v>
      </c>
      <c r="AE1306">
        <v>10</v>
      </c>
      <c r="AF1306" t="s">
        <v>126</v>
      </c>
      <c r="AG1306">
        <v>0</v>
      </c>
      <c r="AH1306">
        <v>0</v>
      </c>
      <c r="AI1306">
        <v>2</v>
      </c>
      <c r="AJ1306">
        <v>0</v>
      </c>
      <c r="AK1306" t="s">
        <v>500</v>
      </c>
      <c r="AL1306">
        <v>31.923480000000001</v>
      </c>
      <c r="AM1306" t="s">
        <v>631</v>
      </c>
      <c r="AN1306">
        <v>-100.969291</v>
      </c>
      <c r="AQ1306" t="s">
        <v>129</v>
      </c>
      <c r="AR1306">
        <v>0</v>
      </c>
      <c r="AS1306">
        <v>0</v>
      </c>
      <c r="AT1306">
        <v>64</v>
      </c>
      <c r="BB1306" t="str">
        <f t="shared" si="145"/>
        <v>1200</v>
      </c>
      <c r="BC1306">
        <v>1</v>
      </c>
      <c r="BD1306" t="str">
        <f t="shared" si="149"/>
        <v xml:space="preserve">N745MB  </v>
      </c>
      <c r="BE1306">
        <v>1</v>
      </c>
      <c r="BG1306">
        <v>0</v>
      </c>
      <c r="BH1306">
        <v>0</v>
      </c>
      <c r="BI1306">
        <v>0</v>
      </c>
      <c r="BL1306" t="s">
        <v>130</v>
      </c>
      <c r="BM1306">
        <v>1</v>
      </c>
      <c r="BN1306">
        <v>0</v>
      </c>
      <c r="BO1306">
        <v>0</v>
      </c>
      <c r="BP1306">
        <v>0</v>
      </c>
      <c r="BT1306">
        <v>0</v>
      </c>
      <c r="BU1306">
        <v>0</v>
      </c>
      <c r="CE1306" t="str">
        <f>"20:29:05.878"</f>
        <v>20:29:05.878</v>
      </c>
      <c r="CF1306">
        <v>877774366</v>
      </c>
      <c r="CS1306">
        <v>0</v>
      </c>
      <c r="CT1306">
        <v>2</v>
      </c>
      <c r="CU1306">
        <v>0</v>
      </c>
      <c r="CV1306">
        <v>2</v>
      </c>
      <c r="CW1306">
        <v>0</v>
      </c>
      <c r="CX1306">
        <v>1</v>
      </c>
      <c r="CY1306">
        <v>7</v>
      </c>
      <c r="CZ1306" t="s">
        <v>131</v>
      </c>
      <c r="DA1306">
        <v>116</v>
      </c>
      <c r="DB1306">
        <v>0</v>
      </c>
      <c r="DC1306" t="s">
        <v>132</v>
      </c>
      <c r="DD1306" t="s">
        <v>133</v>
      </c>
      <c r="DG1306">
        <v>14823606</v>
      </c>
      <c r="DI1306">
        <v>0</v>
      </c>
      <c r="DJ1306">
        <v>1</v>
      </c>
      <c r="DK1306">
        <v>1</v>
      </c>
      <c r="DL1306">
        <v>0</v>
      </c>
      <c r="DM1306">
        <v>0</v>
      </c>
      <c r="DN1306">
        <v>0</v>
      </c>
      <c r="DO1306">
        <v>0</v>
      </c>
      <c r="DP1306">
        <v>1</v>
      </c>
      <c r="DQ1306">
        <v>0</v>
      </c>
      <c r="DR1306">
        <v>0</v>
      </c>
      <c r="DS1306">
        <v>1</v>
      </c>
    </row>
    <row r="1307" spans="1:123" x14ac:dyDescent="0.25">
      <c r="A1307" t="str">
        <f>"11/29/2023 20:29:06.165"</f>
        <v>11/29/2023 20:29:06.165</v>
      </c>
      <c r="C1307" t="str">
        <f t="shared" si="148"/>
        <v>FFDF53C0</v>
      </c>
      <c r="D1307" t="s">
        <v>123</v>
      </c>
      <c r="E1307">
        <v>1</v>
      </c>
      <c r="F1307">
        <v>1001</v>
      </c>
      <c r="G1307" t="s">
        <v>134</v>
      </c>
      <c r="J1307" t="s">
        <v>125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>"20:29:05.875"</f>
        <v>20:29:05.875</v>
      </c>
      <c r="T1307" t="str">
        <f>"20:29:05.175"</f>
        <v>20:29:05.175</v>
      </c>
      <c r="U1307" t="str">
        <f t="shared" si="144"/>
        <v>AA0632</v>
      </c>
      <c r="V1307">
        <v>0</v>
      </c>
      <c r="W1307">
        <v>0</v>
      </c>
      <c r="X1307">
        <v>2</v>
      </c>
      <c r="Y1307">
        <v>0</v>
      </c>
      <c r="AA1307">
        <v>0</v>
      </c>
      <c r="AB1307">
        <v>9</v>
      </c>
      <c r="AC1307">
        <v>3</v>
      </c>
      <c r="AD1307">
        <v>0</v>
      </c>
      <c r="AE1307">
        <v>10</v>
      </c>
      <c r="AF1307" t="s">
        <v>126</v>
      </c>
      <c r="AG1307">
        <v>0</v>
      </c>
      <c r="AH1307">
        <v>0</v>
      </c>
      <c r="AI1307">
        <v>2</v>
      </c>
      <c r="AJ1307">
        <v>0</v>
      </c>
      <c r="AK1307" t="s">
        <v>500</v>
      </c>
      <c r="AL1307">
        <v>31.923480000000001</v>
      </c>
      <c r="AM1307" t="s">
        <v>631</v>
      </c>
      <c r="AN1307">
        <v>-100.969291</v>
      </c>
      <c r="AQ1307" t="s">
        <v>129</v>
      </c>
      <c r="AR1307">
        <v>0</v>
      </c>
      <c r="AS1307">
        <v>0</v>
      </c>
      <c r="AT1307">
        <v>64</v>
      </c>
      <c r="BB1307" t="str">
        <f t="shared" si="145"/>
        <v>1200</v>
      </c>
      <c r="BC1307">
        <v>1</v>
      </c>
      <c r="BD1307" t="str">
        <f t="shared" si="149"/>
        <v xml:space="preserve">N745MB  </v>
      </c>
      <c r="BE1307">
        <v>1</v>
      </c>
      <c r="BG1307">
        <v>0</v>
      </c>
      <c r="BH1307">
        <v>0</v>
      </c>
      <c r="BI1307">
        <v>0</v>
      </c>
      <c r="BL1307" t="s">
        <v>130</v>
      </c>
      <c r="BM1307">
        <v>1</v>
      </c>
      <c r="BN1307">
        <v>0</v>
      </c>
      <c r="BO1307">
        <v>0</v>
      </c>
      <c r="BP1307">
        <v>0</v>
      </c>
      <c r="BT1307">
        <v>0</v>
      </c>
      <c r="BU1307">
        <v>0</v>
      </c>
      <c r="CE1307" t="str">
        <f>"20:29:05.878"</f>
        <v>20:29:05.878</v>
      </c>
      <c r="CF1307">
        <v>877774366</v>
      </c>
      <c r="CS1307">
        <v>0</v>
      </c>
      <c r="CT1307">
        <v>2</v>
      </c>
      <c r="CU1307">
        <v>0</v>
      </c>
      <c r="CV1307">
        <v>2</v>
      </c>
      <c r="CW1307">
        <v>0</v>
      </c>
      <c r="CX1307">
        <v>1</v>
      </c>
      <c r="CY1307">
        <v>7</v>
      </c>
      <c r="CZ1307" t="s">
        <v>131</v>
      </c>
      <c r="DA1307">
        <v>116</v>
      </c>
      <c r="DB1307">
        <v>0</v>
      </c>
      <c r="DC1307" t="s">
        <v>132</v>
      </c>
      <c r="DD1307" t="s">
        <v>133</v>
      </c>
      <c r="DG1307">
        <v>14823606</v>
      </c>
      <c r="DI1307">
        <v>0</v>
      </c>
      <c r="DJ1307">
        <v>1</v>
      </c>
      <c r="DK1307">
        <v>1</v>
      </c>
      <c r="DL1307">
        <v>0</v>
      </c>
      <c r="DM1307">
        <v>0</v>
      </c>
      <c r="DN1307">
        <v>0</v>
      </c>
      <c r="DO1307">
        <v>0</v>
      </c>
      <c r="DP1307">
        <v>1</v>
      </c>
      <c r="DQ1307">
        <v>0</v>
      </c>
      <c r="DR1307">
        <v>0</v>
      </c>
      <c r="DS1307">
        <v>1</v>
      </c>
    </row>
    <row r="1308" spans="1:123" x14ac:dyDescent="0.25">
      <c r="A1308" t="str">
        <f>"11/29/2023 20:29:07.728"</f>
        <v>11/29/2023 20:29:07.728</v>
      </c>
      <c r="C1308" t="str">
        <f t="shared" si="148"/>
        <v>FFDF53C0</v>
      </c>
      <c r="D1308" t="s">
        <v>123</v>
      </c>
      <c r="E1308">
        <v>1</v>
      </c>
      <c r="F1308">
        <v>1001</v>
      </c>
      <c r="G1308" t="s">
        <v>134</v>
      </c>
      <c r="J1308" t="s">
        <v>125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>"20:29:07.320"</f>
        <v>20:29:07.320</v>
      </c>
      <c r="T1308" t="str">
        <f>"20:29:05.120"</f>
        <v>20:29:05.120</v>
      </c>
      <c r="U1308" t="str">
        <f t="shared" si="144"/>
        <v>AA0632</v>
      </c>
      <c r="V1308">
        <v>0</v>
      </c>
      <c r="W1308">
        <v>0</v>
      </c>
      <c r="X1308">
        <v>2</v>
      </c>
      <c r="Y1308">
        <v>0</v>
      </c>
      <c r="AA1308">
        <v>0</v>
      </c>
      <c r="AB1308">
        <v>9</v>
      </c>
      <c r="AC1308">
        <v>3</v>
      </c>
      <c r="AD1308">
        <v>0</v>
      </c>
      <c r="AE1308">
        <v>10</v>
      </c>
      <c r="AF1308" t="s">
        <v>126</v>
      </c>
      <c r="AG1308">
        <v>0</v>
      </c>
      <c r="AH1308">
        <v>0</v>
      </c>
      <c r="AI1308">
        <v>2</v>
      </c>
      <c r="AJ1308">
        <v>0</v>
      </c>
      <c r="AK1308" t="s">
        <v>500</v>
      </c>
      <c r="AL1308">
        <v>31.923480000000001</v>
      </c>
      <c r="AM1308" t="s">
        <v>631</v>
      </c>
      <c r="AN1308">
        <v>-100.969291</v>
      </c>
      <c r="AQ1308" t="s">
        <v>129</v>
      </c>
      <c r="AR1308">
        <v>0</v>
      </c>
      <c r="AS1308">
        <v>0</v>
      </c>
      <c r="AT1308">
        <v>64</v>
      </c>
      <c r="BB1308" t="str">
        <f t="shared" si="145"/>
        <v>1200</v>
      </c>
      <c r="BC1308">
        <v>1</v>
      </c>
      <c r="BD1308" t="str">
        <f t="shared" si="149"/>
        <v xml:space="preserve">N745MB  </v>
      </c>
      <c r="BE1308">
        <v>1</v>
      </c>
      <c r="BG1308">
        <v>0</v>
      </c>
      <c r="BH1308">
        <v>0</v>
      </c>
      <c r="BI1308">
        <v>0</v>
      </c>
      <c r="BL1308" t="s">
        <v>130</v>
      </c>
      <c r="BM1308">
        <v>1</v>
      </c>
      <c r="BN1308">
        <v>0</v>
      </c>
      <c r="BO1308">
        <v>0</v>
      </c>
      <c r="BP1308">
        <v>0</v>
      </c>
      <c r="BT1308">
        <v>0</v>
      </c>
      <c r="BU1308">
        <v>0</v>
      </c>
      <c r="CE1308" t="str">
        <f>"20:29:07.326"</f>
        <v>20:29:07.326</v>
      </c>
      <c r="CF1308">
        <v>325676933</v>
      </c>
      <c r="CS1308">
        <v>0</v>
      </c>
      <c r="CT1308">
        <v>2</v>
      </c>
      <c r="CU1308">
        <v>0</v>
      </c>
      <c r="CV1308">
        <v>2</v>
      </c>
      <c r="CW1308">
        <v>0</v>
      </c>
      <c r="CX1308">
        <v>2</v>
      </c>
      <c r="CY1308">
        <v>7</v>
      </c>
      <c r="CZ1308" t="s">
        <v>131</v>
      </c>
      <c r="DA1308">
        <v>116</v>
      </c>
      <c r="DB1308">
        <v>0</v>
      </c>
      <c r="DC1308" t="s">
        <v>132</v>
      </c>
      <c r="DD1308" t="s">
        <v>133</v>
      </c>
      <c r="DG1308">
        <v>14824719</v>
      </c>
      <c r="DI1308">
        <v>0</v>
      </c>
      <c r="DJ1308">
        <v>1</v>
      </c>
      <c r="DK1308">
        <v>0</v>
      </c>
      <c r="DL1308">
        <v>0</v>
      </c>
      <c r="DM1308">
        <v>0</v>
      </c>
      <c r="DN1308">
        <v>0</v>
      </c>
      <c r="DO1308">
        <v>0</v>
      </c>
      <c r="DP1308">
        <v>1</v>
      </c>
      <c r="DQ1308">
        <v>0</v>
      </c>
      <c r="DR1308">
        <v>0</v>
      </c>
      <c r="DS1308">
        <v>1</v>
      </c>
    </row>
    <row r="1309" spans="1:123" x14ac:dyDescent="0.25">
      <c r="A1309" t="str">
        <f>"11/29/2023 20:29:07.728"</f>
        <v>11/29/2023 20:29:07.728</v>
      </c>
      <c r="C1309" t="str">
        <f t="shared" si="148"/>
        <v>FFDF53C0</v>
      </c>
      <c r="D1309" t="s">
        <v>138</v>
      </c>
      <c r="E1309">
        <v>3</v>
      </c>
      <c r="H1309">
        <v>160</v>
      </c>
      <c r="I1309" t="s">
        <v>124</v>
      </c>
      <c r="J1309" t="s">
        <v>139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>"20:29:07.320"</f>
        <v>20:29:07.320</v>
      </c>
      <c r="T1309" t="str">
        <f>"20:29:05.120"</f>
        <v>20:29:05.120</v>
      </c>
      <c r="U1309" t="str">
        <f t="shared" si="144"/>
        <v>AA0632</v>
      </c>
      <c r="V1309">
        <v>0</v>
      </c>
      <c r="W1309">
        <v>0</v>
      </c>
      <c r="X1309">
        <v>2</v>
      </c>
      <c r="Y1309">
        <v>0</v>
      </c>
      <c r="AA1309">
        <v>0</v>
      </c>
      <c r="AB1309">
        <v>9</v>
      </c>
      <c r="AC1309">
        <v>3</v>
      </c>
      <c r="AD1309">
        <v>0</v>
      </c>
      <c r="AE1309">
        <v>10</v>
      </c>
      <c r="AF1309" t="s">
        <v>126</v>
      </c>
      <c r="AG1309">
        <v>0</v>
      </c>
      <c r="AH1309">
        <v>0</v>
      </c>
      <c r="AI1309">
        <v>2</v>
      </c>
      <c r="AJ1309">
        <v>0</v>
      </c>
      <c r="AK1309" t="s">
        <v>500</v>
      </c>
      <c r="AL1309">
        <v>31.923480000000001</v>
      </c>
      <c r="AM1309" t="s">
        <v>631</v>
      </c>
      <c r="AN1309">
        <v>-100.969291</v>
      </c>
      <c r="AQ1309" t="s">
        <v>129</v>
      </c>
      <c r="AR1309">
        <v>0</v>
      </c>
      <c r="AS1309">
        <v>0</v>
      </c>
      <c r="AT1309">
        <v>64</v>
      </c>
      <c r="BB1309" t="str">
        <f t="shared" si="145"/>
        <v>1200</v>
      </c>
      <c r="BC1309">
        <v>1</v>
      </c>
      <c r="BD1309" t="str">
        <f t="shared" si="149"/>
        <v xml:space="preserve">N745MB  </v>
      </c>
      <c r="BE1309">
        <v>1</v>
      </c>
      <c r="BG1309">
        <v>0</v>
      </c>
      <c r="BH1309">
        <v>0</v>
      </c>
      <c r="BI1309">
        <v>0</v>
      </c>
      <c r="BL1309" t="s">
        <v>130</v>
      </c>
      <c r="BM1309">
        <v>1</v>
      </c>
      <c r="BN1309">
        <v>0</v>
      </c>
      <c r="BO1309">
        <v>0</v>
      </c>
      <c r="BP1309">
        <v>0</v>
      </c>
      <c r="BT1309">
        <v>0</v>
      </c>
      <c r="BU1309">
        <v>0</v>
      </c>
      <c r="CE1309" t="str">
        <f>"20:29:07.326"</f>
        <v>20:29:07.326</v>
      </c>
      <c r="CF1309">
        <v>325676933</v>
      </c>
      <c r="CS1309">
        <v>0</v>
      </c>
      <c r="CT1309">
        <v>2</v>
      </c>
      <c r="CU1309">
        <v>0</v>
      </c>
      <c r="CV1309">
        <v>2</v>
      </c>
      <c r="CW1309">
        <v>0</v>
      </c>
      <c r="CX1309">
        <v>2</v>
      </c>
      <c r="CY1309">
        <v>7</v>
      </c>
      <c r="CZ1309" t="s">
        <v>131</v>
      </c>
      <c r="DA1309">
        <v>116</v>
      </c>
      <c r="DB1309">
        <v>0</v>
      </c>
      <c r="DC1309" t="s">
        <v>132</v>
      </c>
      <c r="DD1309" t="s">
        <v>133</v>
      </c>
      <c r="DG1309">
        <v>14824719</v>
      </c>
      <c r="DI1309">
        <v>0</v>
      </c>
      <c r="DJ1309">
        <v>1</v>
      </c>
      <c r="DK1309">
        <v>1</v>
      </c>
      <c r="DL1309">
        <v>0</v>
      </c>
      <c r="DM1309">
        <v>0</v>
      </c>
      <c r="DN1309">
        <v>0</v>
      </c>
      <c r="DO1309">
        <v>0</v>
      </c>
      <c r="DP1309">
        <v>1</v>
      </c>
      <c r="DQ1309">
        <v>0</v>
      </c>
      <c r="DR1309">
        <v>0</v>
      </c>
      <c r="DS1309">
        <v>1</v>
      </c>
    </row>
    <row r="1310" spans="1:123" x14ac:dyDescent="0.25">
      <c r="A1310" t="str">
        <f>"11/29/2023 20:29:07.759"</f>
        <v>11/29/2023 20:29:07.759</v>
      </c>
      <c r="C1310" t="str">
        <f t="shared" si="148"/>
        <v>FFDF53C0</v>
      </c>
      <c r="D1310" t="s">
        <v>135</v>
      </c>
      <c r="E1310">
        <v>31</v>
      </c>
      <c r="H1310">
        <v>285</v>
      </c>
      <c r="I1310" t="s">
        <v>136</v>
      </c>
      <c r="J1310" t="s">
        <v>137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>"20:29:07.320"</f>
        <v>20:29:07.320</v>
      </c>
      <c r="T1310" t="str">
        <f>"20:29:05.120"</f>
        <v>20:29:05.120</v>
      </c>
      <c r="U1310" t="str">
        <f t="shared" si="144"/>
        <v>AA0632</v>
      </c>
      <c r="V1310">
        <v>0</v>
      </c>
      <c r="W1310">
        <v>0</v>
      </c>
      <c r="X1310">
        <v>2</v>
      </c>
      <c r="Y1310">
        <v>0</v>
      </c>
      <c r="AA1310">
        <v>0</v>
      </c>
      <c r="AB1310">
        <v>9</v>
      </c>
      <c r="AC1310">
        <v>3</v>
      </c>
      <c r="AD1310">
        <v>0</v>
      </c>
      <c r="AE1310">
        <v>10</v>
      </c>
      <c r="AF1310" t="s">
        <v>126</v>
      </c>
      <c r="AG1310">
        <v>0</v>
      </c>
      <c r="AH1310">
        <v>0</v>
      </c>
      <c r="AI1310">
        <v>2</v>
      </c>
      <c r="AJ1310">
        <v>0</v>
      </c>
      <c r="AK1310" t="s">
        <v>500</v>
      </c>
      <c r="AL1310">
        <v>31.923480000000001</v>
      </c>
      <c r="AM1310" t="s">
        <v>631</v>
      </c>
      <c r="AN1310">
        <v>-100.969291</v>
      </c>
      <c r="AQ1310" t="s">
        <v>129</v>
      </c>
      <c r="AR1310">
        <v>0</v>
      </c>
      <c r="AS1310">
        <v>0</v>
      </c>
      <c r="AT1310">
        <v>64</v>
      </c>
      <c r="BB1310" t="str">
        <f t="shared" si="145"/>
        <v>1200</v>
      </c>
      <c r="BC1310">
        <v>1</v>
      </c>
      <c r="BD1310" t="str">
        <f t="shared" si="149"/>
        <v xml:space="preserve">N745MB  </v>
      </c>
      <c r="BE1310">
        <v>1</v>
      </c>
      <c r="BG1310">
        <v>0</v>
      </c>
      <c r="BH1310">
        <v>0</v>
      </c>
      <c r="BI1310">
        <v>0</v>
      </c>
      <c r="BL1310" t="s">
        <v>130</v>
      </c>
      <c r="BM1310">
        <v>1</v>
      </c>
      <c r="BN1310">
        <v>0</v>
      </c>
      <c r="BO1310">
        <v>0</v>
      </c>
      <c r="BP1310">
        <v>0</v>
      </c>
      <c r="BT1310">
        <v>0</v>
      </c>
      <c r="BU1310">
        <v>0</v>
      </c>
      <c r="CE1310" t="str">
        <f>"20:29:07.326"</f>
        <v>20:29:07.326</v>
      </c>
      <c r="CF1310">
        <v>325676933</v>
      </c>
      <c r="CS1310">
        <v>0</v>
      </c>
      <c r="CT1310">
        <v>2</v>
      </c>
      <c r="CU1310">
        <v>0</v>
      </c>
      <c r="CV1310">
        <v>2</v>
      </c>
      <c r="CW1310">
        <v>0</v>
      </c>
      <c r="CX1310">
        <v>2</v>
      </c>
      <c r="CY1310">
        <v>7</v>
      </c>
      <c r="CZ1310" t="s">
        <v>131</v>
      </c>
      <c r="DA1310">
        <v>116</v>
      </c>
      <c r="DB1310">
        <v>0</v>
      </c>
      <c r="DC1310" t="s">
        <v>132</v>
      </c>
      <c r="DD1310" t="s">
        <v>133</v>
      </c>
      <c r="DG1310">
        <v>14824719</v>
      </c>
      <c r="DI1310">
        <v>0</v>
      </c>
      <c r="DJ1310">
        <v>1</v>
      </c>
      <c r="DK1310">
        <v>1</v>
      </c>
      <c r="DL1310">
        <v>0</v>
      </c>
      <c r="DM1310">
        <v>0</v>
      </c>
      <c r="DN1310">
        <v>0</v>
      </c>
      <c r="DO1310">
        <v>0</v>
      </c>
      <c r="DP1310">
        <v>1</v>
      </c>
      <c r="DQ1310">
        <v>0</v>
      </c>
      <c r="DR1310">
        <v>0</v>
      </c>
      <c r="DS1310">
        <v>1</v>
      </c>
    </row>
    <row r="1311" spans="1:123" x14ac:dyDescent="0.25">
      <c r="A1311" t="str">
        <f>"11/29/2023 20:29:07.759"</f>
        <v>11/29/2023 20:29:07.759</v>
      </c>
      <c r="C1311" t="str">
        <f t="shared" si="148"/>
        <v>FFDF53C0</v>
      </c>
      <c r="D1311" t="s">
        <v>123</v>
      </c>
      <c r="E1311">
        <v>14</v>
      </c>
      <c r="F1311">
        <v>1014</v>
      </c>
      <c r="G1311" t="s">
        <v>124</v>
      </c>
      <c r="J1311" t="s">
        <v>125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>"20:29:07.320"</f>
        <v>20:29:07.320</v>
      </c>
      <c r="T1311" t="str">
        <f>"20:29:05.120"</f>
        <v>20:29:05.120</v>
      </c>
      <c r="U1311" t="str">
        <f t="shared" si="144"/>
        <v>AA0632</v>
      </c>
      <c r="V1311">
        <v>0</v>
      </c>
      <c r="W1311">
        <v>0</v>
      </c>
      <c r="X1311">
        <v>2</v>
      </c>
      <c r="Y1311">
        <v>0</v>
      </c>
      <c r="AA1311">
        <v>0</v>
      </c>
      <c r="AB1311">
        <v>9</v>
      </c>
      <c r="AC1311">
        <v>3</v>
      </c>
      <c r="AD1311">
        <v>0</v>
      </c>
      <c r="AE1311">
        <v>10</v>
      </c>
      <c r="AF1311" t="s">
        <v>126</v>
      </c>
      <c r="AG1311">
        <v>0</v>
      </c>
      <c r="AH1311">
        <v>0</v>
      </c>
      <c r="AI1311">
        <v>2</v>
      </c>
      <c r="AJ1311">
        <v>0</v>
      </c>
      <c r="AK1311" t="s">
        <v>500</v>
      </c>
      <c r="AL1311">
        <v>31.923480000000001</v>
      </c>
      <c r="AM1311" t="s">
        <v>631</v>
      </c>
      <c r="AN1311">
        <v>-100.969291</v>
      </c>
      <c r="AQ1311" t="s">
        <v>129</v>
      </c>
      <c r="AR1311">
        <v>0</v>
      </c>
      <c r="AS1311">
        <v>0</v>
      </c>
      <c r="AT1311">
        <v>64</v>
      </c>
      <c r="BB1311" t="str">
        <f t="shared" si="145"/>
        <v>1200</v>
      </c>
      <c r="BC1311">
        <v>1</v>
      </c>
      <c r="BD1311" t="str">
        <f t="shared" si="149"/>
        <v xml:space="preserve">N745MB  </v>
      </c>
      <c r="BE1311">
        <v>1</v>
      </c>
      <c r="BG1311">
        <v>0</v>
      </c>
      <c r="BH1311">
        <v>0</v>
      </c>
      <c r="BI1311">
        <v>0</v>
      </c>
      <c r="BL1311" t="s">
        <v>130</v>
      </c>
      <c r="BM1311">
        <v>1</v>
      </c>
      <c r="BN1311">
        <v>0</v>
      </c>
      <c r="BO1311">
        <v>0</v>
      </c>
      <c r="BP1311">
        <v>0</v>
      </c>
      <c r="BT1311">
        <v>0</v>
      </c>
      <c r="BU1311">
        <v>0</v>
      </c>
      <c r="CE1311" t="str">
        <f>"20:29:07.326"</f>
        <v>20:29:07.326</v>
      </c>
      <c r="CF1311">
        <v>325676933</v>
      </c>
      <c r="CS1311">
        <v>0</v>
      </c>
      <c r="CT1311">
        <v>2</v>
      </c>
      <c r="CU1311">
        <v>0</v>
      </c>
      <c r="CV1311">
        <v>2</v>
      </c>
      <c r="CW1311">
        <v>0</v>
      </c>
      <c r="CX1311">
        <v>2</v>
      </c>
      <c r="CY1311">
        <v>7</v>
      </c>
      <c r="CZ1311" t="s">
        <v>131</v>
      </c>
      <c r="DA1311">
        <v>116</v>
      </c>
      <c r="DB1311">
        <v>0</v>
      </c>
      <c r="DC1311" t="s">
        <v>132</v>
      </c>
      <c r="DD1311" t="s">
        <v>133</v>
      </c>
      <c r="DG1311">
        <v>14824719</v>
      </c>
      <c r="DI1311">
        <v>0</v>
      </c>
      <c r="DJ1311">
        <v>1</v>
      </c>
      <c r="DK1311">
        <v>1</v>
      </c>
      <c r="DL1311">
        <v>0</v>
      </c>
      <c r="DM1311">
        <v>0</v>
      </c>
      <c r="DN1311">
        <v>0</v>
      </c>
      <c r="DO1311">
        <v>0</v>
      </c>
      <c r="DP1311">
        <v>1</v>
      </c>
      <c r="DQ1311">
        <v>0</v>
      </c>
      <c r="DR1311">
        <v>0</v>
      </c>
      <c r="DS1311">
        <v>1</v>
      </c>
    </row>
    <row r="1312" spans="1:123" x14ac:dyDescent="0.25">
      <c r="A1312" t="str">
        <f>"11/29/2023 20:29:08.696"</f>
        <v>11/29/2023 20:29:08.696</v>
      </c>
      <c r="C1312" t="str">
        <f t="shared" si="148"/>
        <v>FFDF53C0</v>
      </c>
      <c r="D1312" t="s">
        <v>123</v>
      </c>
      <c r="E1312">
        <v>1</v>
      </c>
      <c r="F1312">
        <v>1001</v>
      </c>
      <c r="G1312" t="s">
        <v>134</v>
      </c>
      <c r="J1312" t="s">
        <v>125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>"20:29:08.336"</f>
        <v>20:29:08.336</v>
      </c>
      <c r="T1312" t="str">
        <f>"20:29:08.136"</f>
        <v>20:29:08.136</v>
      </c>
      <c r="U1312" t="str">
        <f t="shared" si="144"/>
        <v>AA0632</v>
      </c>
      <c r="V1312">
        <v>0</v>
      </c>
      <c r="W1312">
        <v>0</v>
      </c>
      <c r="X1312">
        <v>2</v>
      </c>
      <c r="Y1312">
        <v>0</v>
      </c>
      <c r="AA1312">
        <v>0</v>
      </c>
      <c r="AB1312">
        <v>9</v>
      </c>
      <c r="AC1312">
        <v>3</v>
      </c>
      <c r="AD1312">
        <v>0</v>
      </c>
      <c r="AE1312">
        <v>10</v>
      </c>
      <c r="AF1312" t="s">
        <v>126</v>
      </c>
      <c r="AG1312">
        <v>0</v>
      </c>
      <c r="AH1312">
        <v>0</v>
      </c>
      <c r="AI1312">
        <v>2</v>
      </c>
      <c r="AJ1312">
        <v>0</v>
      </c>
      <c r="AK1312" t="s">
        <v>500</v>
      </c>
      <c r="AL1312">
        <v>31.923480000000001</v>
      </c>
      <c r="AM1312" t="s">
        <v>631</v>
      </c>
      <c r="AN1312">
        <v>-100.969291</v>
      </c>
      <c r="AQ1312" t="s">
        <v>129</v>
      </c>
      <c r="AR1312">
        <v>0</v>
      </c>
      <c r="AS1312">
        <v>3</v>
      </c>
      <c r="AT1312">
        <v>128</v>
      </c>
      <c r="BB1312" t="str">
        <f t="shared" si="145"/>
        <v>1200</v>
      </c>
      <c r="BC1312">
        <v>1</v>
      </c>
      <c r="BD1312" t="str">
        <f t="shared" si="149"/>
        <v xml:space="preserve">N745MB  </v>
      </c>
      <c r="BE1312">
        <v>1</v>
      </c>
      <c r="BG1312">
        <v>0</v>
      </c>
      <c r="BH1312">
        <v>0</v>
      </c>
      <c r="BI1312">
        <v>0</v>
      </c>
      <c r="BL1312" t="s">
        <v>130</v>
      </c>
      <c r="BM1312">
        <v>1</v>
      </c>
      <c r="BN1312">
        <v>0</v>
      </c>
      <c r="BO1312">
        <v>0</v>
      </c>
      <c r="BP1312">
        <v>0</v>
      </c>
      <c r="BT1312">
        <v>0</v>
      </c>
      <c r="BU1312">
        <v>0</v>
      </c>
      <c r="CE1312" t="str">
        <f>"20:29:08.342"</f>
        <v>20:29:08.342</v>
      </c>
      <c r="CF1312">
        <v>341610916</v>
      </c>
      <c r="CS1312">
        <v>0</v>
      </c>
      <c r="CT1312">
        <v>2</v>
      </c>
      <c r="CU1312">
        <v>0</v>
      </c>
      <c r="CV1312">
        <v>2</v>
      </c>
      <c r="CW1312">
        <v>0</v>
      </c>
      <c r="CX1312">
        <v>3</v>
      </c>
      <c r="CY1312">
        <v>7</v>
      </c>
      <c r="CZ1312" t="s">
        <v>131</v>
      </c>
      <c r="DA1312">
        <v>116</v>
      </c>
      <c r="DB1312">
        <v>0</v>
      </c>
      <c r="DC1312" t="s">
        <v>132</v>
      </c>
      <c r="DD1312" t="s">
        <v>133</v>
      </c>
      <c r="DG1312">
        <v>14825503</v>
      </c>
      <c r="DI1312">
        <v>0</v>
      </c>
      <c r="DJ1312">
        <v>1</v>
      </c>
      <c r="DK1312">
        <v>0</v>
      </c>
      <c r="DL1312">
        <v>0</v>
      </c>
      <c r="DM1312">
        <v>0</v>
      </c>
      <c r="DN1312">
        <v>0</v>
      </c>
      <c r="DO1312">
        <v>0</v>
      </c>
      <c r="DP1312">
        <v>1</v>
      </c>
      <c r="DQ1312">
        <v>0</v>
      </c>
      <c r="DR1312">
        <v>0</v>
      </c>
      <c r="DS1312">
        <v>1</v>
      </c>
    </row>
    <row r="1313" spans="1:123" x14ac:dyDescent="0.25">
      <c r="A1313" t="str">
        <f>"11/29/2023 20:29:08.696"</f>
        <v>11/29/2023 20:29:08.696</v>
      </c>
      <c r="C1313" t="str">
        <f t="shared" si="148"/>
        <v>FFDF53C0</v>
      </c>
      <c r="D1313" t="s">
        <v>138</v>
      </c>
      <c r="E1313">
        <v>3</v>
      </c>
      <c r="H1313">
        <v>160</v>
      </c>
      <c r="I1313" t="s">
        <v>124</v>
      </c>
      <c r="J1313" t="s">
        <v>139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>"20:29:08.336"</f>
        <v>20:29:08.336</v>
      </c>
      <c r="T1313" t="str">
        <f>"20:29:08.136"</f>
        <v>20:29:08.136</v>
      </c>
      <c r="U1313" t="str">
        <f t="shared" si="144"/>
        <v>AA0632</v>
      </c>
      <c r="V1313">
        <v>0</v>
      </c>
      <c r="W1313">
        <v>0</v>
      </c>
      <c r="X1313">
        <v>2</v>
      </c>
      <c r="Y1313">
        <v>0</v>
      </c>
      <c r="AA1313">
        <v>0</v>
      </c>
      <c r="AB1313">
        <v>9</v>
      </c>
      <c r="AC1313">
        <v>3</v>
      </c>
      <c r="AD1313">
        <v>0</v>
      </c>
      <c r="AE1313">
        <v>10</v>
      </c>
      <c r="AF1313" t="s">
        <v>126</v>
      </c>
      <c r="AG1313">
        <v>0</v>
      </c>
      <c r="AH1313">
        <v>0</v>
      </c>
      <c r="AI1313">
        <v>2</v>
      </c>
      <c r="AJ1313">
        <v>0</v>
      </c>
      <c r="AK1313" t="s">
        <v>500</v>
      </c>
      <c r="AL1313">
        <v>31.923480000000001</v>
      </c>
      <c r="AM1313" t="s">
        <v>631</v>
      </c>
      <c r="AN1313">
        <v>-100.969291</v>
      </c>
      <c r="AQ1313" t="s">
        <v>129</v>
      </c>
      <c r="AR1313">
        <v>0</v>
      </c>
      <c r="AS1313">
        <v>3</v>
      </c>
      <c r="AT1313">
        <v>128</v>
      </c>
      <c r="BB1313" t="str">
        <f t="shared" si="145"/>
        <v>1200</v>
      </c>
      <c r="BC1313">
        <v>1</v>
      </c>
      <c r="BD1313" t="str">
        <f t="shared" si="149"/>
        <v xml:space="preserve">N745MB  </v>
      </c>
      <c r="BE1313">
        <v>1</v>
      </c>
      <c r="BG1313">
        <v>0</v>
      </c>
      <c r="BH1313">
        <v>0</v>
      </c>
      <c r="BI1313">
        <v>0</v>
      </c>
      <c r="BL1313" t="s">
        <v>130</v>
      </c>
      <c r="BM1313">
        <v>1</v>
      </c>
      <c r="BN1313">
        <v>0</v>
      </c>
      <c r="BO1313">
        <v>0</v>
      </c>
      <c r="BP1313">
        <v>0</v>
      </c>
      <c r="BT1313">
        <v>0</v>
      </c>
      <c r="BU1313">
        <v>0</v>
      </c>
      <c r="CE1313" t="str">
        <f>"20:29:08.342"</f>
        <v>20:29:08.342</v>
      </c>
      <c r="CF1313">
        <v>341610916</v>
      </c>
      <c r="CS1313">
        <v>0</v>
      </c>
      <c r="CT1313">
        <v>2</v>
      </c>
      <c r="CU1313">
        <v>0</v>
      </c>
      <c r="CV1313">
        <v>2</v>
      </c>
      <c r="CW1313">
        <v>0</v>
      </c>
      <c r="CX1313">
        <v>3</v>
      </c>
      <c r="CY1313">
        <v>7</v>
      </c>
      <c r="CZ1313" t="s">
        <v>131</v>
      </c>
      <c r="DA1313">
        <v>116</v>
      </c>
      <c r="DB1313">
        <v>0</v>
      </c>
      <c r="DC1313" t="s">
        <v>132</v>
      </c>
      <c r="DD1313" t="s">
        <v>133</v>
      </c>
      <c r="DG1313">
        <v>14825503</v>
      </c>
      <c r="DI1313">
        <v>0</v>
      </c>
      <c r="DJ1313">
        <v>1</v>
      </c>
      <c r="DK1313">
        <v>1</v>
      </c>
      <c r="DL1313">
        <v>0</v>
      </c>
      <c r="DM1313">
        <v>0</v>
      </c>
      <c r="DN1313">
        <v>0</v>
      </c>
      <c r="DO1313">
        <v>0</v>
      </c>
      <c r="DP1313">
        <v>1</v>
      </c>
      <c r="DQ1313">
        <v>0</v>
      </c>
      <c r="DR1313">
        <v>0</v>
      </c>
      <c r="DS1313">
        <v>1</v>
      </c>
    </row>
    <row r="1314" spans="1:123" x14ac:dyDescent="0.25">
      <c r="A1314" t="str">
        <f>"11/29/2023 20:29:08.696"</f>
        <v>11/29/2023 20:29:08.696</v>
      </c>
      <c r="C1314" t="str">
        <f t="shared" si="148"/>
        <v>FFDF53C0</v>
      </c>
      <c r="D1314" t="s">
        <v>135</v>
      </c>
      <c r="E1314">
        <v>31</v>
      </c>
      <c r="H1314">
        <v>285</v>
      </c>
      <c r="I1314" t="s">
        <v>136</v>
      </c>
      <c r="J1314" t="s">
        <v>137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>"20:29:08.336"</f>
        <v>20:29:08.336</v>
      </c>
      <c r="T1314" t="str">
        <f>"20:29:08.136"</f>
        <v>20:29:08.136</v>
      </c>
      <c r="U1314" t="str">
        <f t="shared" si="144"/>
        <v>AA0632</v>
      </c>
      <c r="V1314">
        <v>0</v>
      </c>
      <c r="W1314">
        <v>0</v>
      </c>
      <c r="X1314">
        <v>2</v>
      </c>
      <c r="Y1314">
        <v>0</v>
      </c>
      <c r="AA1314">
        <v>0</v>
      </c>
      <c r="AB1314">
        <v>9</v>
      </c>
      <c r="AC1314">
        <v>3</v>
      </c>
      <c r="AD1314">
        <v>0</v>
      </c>
      <c r="AE1314">
        <v>10</v>
      </c>
      <c r="AF1314" t="s">
        <v>126</v>
      </c>
      <c r="AG1314">
        <v>0</v>
      </c>
      <c r="AH1314">
        <v>0</v>
      </c>
      <c r="AI1314">
        <v>2</v>
      </c>
      <c r="AJ1314">
        <v>0</v>
      </c>
      <c r="AK1314" t="s">
        <v>500</v>
      </c>
      <c r="AL1314">
        <v>31.923480000000001</v>
      </c>
      <c r="AM1314" t="s">
        <v>631</v>
      </c>
      <c r="AN1314">
        <v>-100.969291</v>
      </c>
      <c r="AQ1314" t="s">
        <v>129</v>
      </c>
      <c r="AR1314">
        <v>0</v>
      </c>
      <c r="AS1314">
        <v>3</v>
      </c>
      <c r="AT1314">
        <v>128</v>
      </c>
      <c r="BB1314" t="str">
        <f t="shared" si="145"/>
        <v>1200</v>
      </c>
      <c r="BC1314">
        <v>1</v>
      </c>
      <c r="BD1314" t="str">
        <f t="shared" si="149"/>
        <v xml:space="preserve">N745MB  </v>
      </c>
      <c r="BE1314">
        <v>1</v>
      </c>
      <c r="BG1314">
        <v>0</v>
      </c>
      <c r="BH1314">
        <v>0</v>
      </c>
      <c r="BI1314">
        <v>0</v>
      </c>
      <c r="BL1314" t="s">
        <v>130</v>
      </c>
      <c r="BM1314">
        <v>1</v>
      </c>
      <c r="BN1314">
        <v>0</v>
      </c>
      <c r="BO1314">
        <v>0</v>
      </c>
      <c r="BP1314">
        <v>0</v>
      </c>
      <c r="BT1314">
        <v>0</v>
      </c>
      <c r="BU1314">
        <v>0</v>
      </c>
      <c r="CE1314" t="str">
        <f>"20:29:08.342"</f>
        <v>20:29:08.342</v>
      </c>
      <c r="CF1314">
        <v>341610916</v>
      </c>
      <c r="CS1314">
        <v>0</v>
      </c>
      <c r="CT1314">
        <v>2</v>
      </c>
      <c r="CU1314">
        <v>0</v>
      </c>
      <c r="CV1314">
        <v>2</v>
      </c>
      <c r="CW1314">
        <v>0</v>
      </c>
      <c r="CX1314">
        <v>3</v>
      </c>
      <c r="CY1314">
        <v>7</v>
      </c>
      <c r="CZ1314" t="s">
        <v>131</v>
      </c>
      <c r="DA1314">
        <v>116</v>
      </c>
      <c r="DB1314">
        <v>0</v>
      </c>
      <c r="DC1314" t="s">
        <v>132</v>
      </c>
      <c r="DD1314" t="s">
        <v>133</v>
      </c>
      <c r="DG1314">
        <v>14825503</v>
      </c>
      <c r="DI1314">
        <v>0</v>
      </c>
      <c r="DJ1314">
        <v>1</v>
      </c>
      <c r="DK1314">
        <v>1</v>
      </c>
      <c r="DL1314">
        <v>0</v>
      </c>
      <c r="DM1314">
        <v>0</v>
      </c>
      <c r="DN1314">
        <v>0</v>
      </c>
      <c r="DO1314">
        <v>0</v>
      </c>
      <c r="DP1314">
        <v>1</v>
      </c>
      <c r="DQ1314">
        <v>0</v>
      </c>
      <c r="DR1314">
        <v>0</v>
      </c>
      <c r="DS1314">
        <v>1</v>
      </c>
    </row>
    <row r="1315" spans="1:123" x14ac:dyDescent="0.25">
      <c r="A1315" t="str">
        <f>"11/29/2023 20:29:08.696"</f>
        <v>11/29/2023 20:29:08.696</v>
      </c>
      <c r="C1315" t="str">
        <f t="shared" si="148"/>
        <v>FFDF53C0</v>
      </c>
      <c r="D1315" t="s">
        <v>123</v>
      </c>
      <c r="E1315">
        <v>14</v>
      </c>
      <c r="F1315">
        <v>1014</v>
      </c>
      <c r="G1315" t="s">
        <v>124</v>
      </c>
      <c r="J1315" t="s">
        <v>125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>"20:29:08.336"</f>
        <v>20:29:08.336</v>
      </c>
      <c r="T1315" t="str">
        <f>"20:29:08.136"</f>
        <v>20:29:08.136</v>
      </c>
      <c r="U1315" t="str">
        <f t="shared" si="144"/>
        <v>AA0632</v>
      </c>
      <c r="V1315">
        <v>0</v>
      </c>
      <c r="W1315">
        <v>0</v>
      </c>
      <c r="X1315">
        <v>2</v>
      </c>
      <c r="Y1315">
        <v>0</v>
      </c>
      <c r="AA1315">
        <v>0</v>
      </c>
      <c r="AB1315">
        <v>9</v>
      </c>
      <c r="AC1315">
        <v>3</v>
      </c>
      <c r="AD1315">
        <v>0</v>
      </c>
      <c r="AE1315">
        <v>10</v>
      </c>
      <c r="AF1315" t="s">
        <v>126</v>
      </c>
      <c r="AG1315">
        <v>0</v>
      </c>
      <c r="AH1315">
        <v>0</v>
      </c>
      <c r="AI1315">
        <v>2</v>
      </c>
      <c r="AJ1315">
        <v>0</v>
      </c>
      <c r="AK1315" t="s">
        <v>500</v>
      </c>
      <c r="AL1315">
        <v>31.923480000000001</v>
      </c>
      <c r="AM1315" t="s">
        <v>631</v>
      </c>
      <c r="AN1315">
        <v>-100.969291</v>
      </c>
      <c r="AQ1315" t="s">
        <v>129</v>
      </c>
      <c r="AR1315">
        <v>0</v>
      </c>
      <c r="AS1315">
        <v>3</v>
      </c>
      <c r="AT1315">
        <v>128</v>
      </c>
      <c r="BB1315" t="str">
        <f t="shared" si="145"/>
        <v>1200</v>
      </c>
      <c r="BC1315">
        <v>1</v>
      </c>
      <c r="BD1315" t="str">
        <f t="shared" si="149"/>
        <v xml:space="preserve">N745MB  </v>
      </c>
      <c r="BE1315">
        <v>1</v>
      </c>
      <c r="BG1315">
        <v>0</v>
      </c>
      <c r="BH1315">
        <v>0</v>
      </c>
      <c r="BI1315">
        <v>0</v>
      </c>
      <c r="BL1315" t="s">
        <v>130</v>
      </c>
      <c r="BM1315">
        <v>1</v>
      </c>
      <c r="BN1315">
        <v>0</v>
      </c>
      <c r="BO1315">
        <v>0</v>
      </c>
      <c r="BP1315">
        <v>0</v>
      </c>
      <c r="BT1315">
        <v>0</v>
      </c>
      <c r="BU1315">
        <v>0</v>
      </c>
      <c r="CE1315" t="str">
        <f>"20:29:08.342"</f>
        <v>20:29:08.342</v>
      </c>
      <c r="CF1315">
        <v>341610916</v>
      </c>
      <c r="CS1315">
        <v>0</v>
      </c>
      <c r="CT1315">
        <v>2</v>
      </c>
      <c r="CU1315">
        <v>0</v>
      </c>
      <c r="CV1315">
        <v>2</v>
      </c>
      <c r="CW1315">
        <v>0</v>
      </c>
      <c r="CX1315">
        <v>3</v>
      </c>
      <c r="CY1315">
        <v>7</v>
      </c>
      <c r="CZ1315" t="s">
        <v>131</v>
      </c>
      <c r="DA1315">
        <v>116</v>
      </c>
      <c r="DB1315">
        <v>0</v>
      </c>
      <c r="DC1315" t="s">
        <v>132</v>
      </c>
      <c r="DD1315" t="s">
        <v>133</v>
      </c>
      <c r="DG1315">
        <v>14825503</v>
      </c>
      <c r="DI1315">
        <v>0</v>
      </c>
      <c r="DJ1315">
        <v>1</v>
      </c>
      <c r="DK1315">
        <v>1</v>
      </c>
      <c r="DL1315">
        <v>0</v>
      </c>
      <c r="DM1315">
        <v>0</v>
      </c>
      <c r="DN1315">
        <v>0</v>
      </c>
      <c r="DO1315">
        <v>0</v>
      </c>
      <c r="DP1315">
        <v>1</v>
      </c>
      <c r="DQ1315">
        <v>0</v>
      </c>
      <c r="DR1315">
        <v>0</v>
      </c>
      <c r="DS1315">
        <v>1</v>
      </c>
    </row>
    <row r="1316" spans="1:123" x14ac:dyDescent="0.25">
      <c r="A1316" t="str">
        <f>"11/29/2023 20:29:10.134"</f>
        <v>11/29/2023 20:29:10.134</v>
      </c>
      <c r="C1316" t="str">
        <f t="shared" si="148"/>
        <v>FFDF53C0</v>
      </c>
      <c r="D1316" t="s">
        <v>123</v>
      </c>
      <c r="E1316">
        <v>1</v>
      </c>
      <c r="F1316">
        <v>1001</v>
      </c>
      <c r="G1316" t="s">
        <v>134</v>
      </c>
      <c r="J1316" t="s">
        <v>125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>"20:29:09.828"</f>
        <v>20:29:09.828</v>
      </c>
      <c r="T1316" t="str">
        <f>"20:29:08.128"</f>
        <v>20:29:08.128</v>
      </c>
      <c r="U1316" t="str">
        <f t="shared" si="144"/>
        <v>AA0632</v>
      </c>
      <c r="V1316">
        <v>0</v>
      </c>
      <c r="W1316">
        <v>0</v>
      </c>
      <c r="X1316">
        <v>2</v>
      </c>
      <c r="Y1316">
        <v>0</v>
      </c>
      <c r="AA1316">
        <v>0</v>
      </c>
      <c r="AB1316">
        <v>9</v>
      </c>
      <c r="AC1316">
        <v>3</v>
      </c>
      <c r="AD1316">
        <v>0</v>
      </c>
      <c r="AE1316">
        <v>10</v>
      </c>
      <c r="AF1316" t="s">
        <v>126</v>
      </c>
      <c r="AG1316">
        <v>0</v>
      </c>
      <c r="AH1316">
        <v>0</v>
      </c>
      <c r="AI1316">
        <v>2</v>
      </c>
      <c r="AJ1316">
        <v>0</v>
      </c>
      <c r="AK1316" t="s">
        <v>496</v>
      </c>
      <c r="AL1316">
        <v>31.923608999999999</v>
      </c>
      <c r="AM1316" t="s">
        <v>672</v>
      </c>
      <c r="AN1316">
        <v>-100.96924799999999</v>
      </c>
      <c r="AQ1316" t="s">
        <v>129</v>
      </c>
      <c r="AR1316">
        <v>0</v>
      </c>
      <c r="AS1316">
        <v>3</v>
      </c>
      <c r="AT1316">
        <v>128</v>
      </c>
      <c r="BB1316" t="str">
        <f t="shared" si="145"/>
        <v>1200</v>
      </c>
      <c r="BC1316">
        <v>1</v>
      </c>
      <c r="BD1316" t="str">
        <f t="shared" si="149"/>
        <v xml:space="preserve">N745MB  </v>
      </c>
      <c r="BE1316">
        <v>1</v>
      </c>
      <c r="BG1316">
        <v>0</v>
      </c>
      <c r="BH1316">
        <v>0</v>
      </c>
      <c r="BI1316">
        <v>0</v>
      </c>
      <c r="BL1316" t="s">
        <v>130</v>
      </c>
      <c r="BM1316">
        <v>1</v>
      </c>
      <c r="BN1316">
        <v>0</v>
      </c>
      <c r="BO1316">
        <v>0</v>
      </c>
      <c r="BP1316">
        <v>0</v>
      </c>
      <c r="BT1316">
        <v>0</v>
      </c>
      <c r="BU1316">
        <v>0</v>
      </c>
      <c r="CE1316" t="str">
        <f>"20:29:09.830"</f>
        <v>20:29:09.830</v>
      </c>
      <c r="CF1316">
        <v>829511037</v>
      </c>
      <c r="CS1316">
        <v>0</v>
      </c>
      <c r="CT1316">
        <v>2</v>
      </c>
      <c r="CU1316">
        <v>0</v>
      </c>
      <c r="CV1316">
        <v>2</v>
      </c>
      <c r="CW1316">
        <v>0</v>
      </c>
      <c r="CX1316">
        <v>2</v>
      </c>
      <c r="CY1316">
        <v>7</v>
      </c>
      <c r="CZ1316" t="s">
        <v>131</v>
      </c>
      <c r="DA1316">
        <v>116</v>
      </c>
      <c r="DB1316">
        <v>0</v>
      </c>
      <c r="DC1316" t="s">
        <v>132</v>
      </c>
      <c r="DD1316" t="s">
        <v>133</v>
      </c>
      <c r="DG1316">
        <v>14826644</v>
      </c>
      <c r="DI1316">
        <v>0</v>
      </c>
      <c r="DJ1316">
        <v>1</v>
      </c>
      <c r="DK1316">
        <v>0</v>
      </c>
      <c r="DL1316">
        <v>0</v>
      </c>
      <c r="DM1316">
        <v>0</v>
      </c>
      <c r="DN1316">
        <v>0</v>
      </c>
      <c r="DO1316">
        <v>0</v>
      </c>
      <c r="DP1316">
        <v>1</v>
      </c>
      <c r="DQ1316">
        <v>0</v>
      </c>
      <c r="DR1316">
        <v>0</v>
      </c>
      <c r="DS1316">
        <v>1</v>
      </c>
    </row>
    <row r="1317" spans="1:123" x14ac:dyDescent="0.25">
      <c r="A1317" t="str">
        <f>"11/29/2023 20:29:10.181"</f>
        <v>11/29/2023 20:29:10.181</v>
      </c>
      <c r="C1317" t="str">
        <f t="shared" si="148"/>
        <v>FFDF53C0</v>
      </c>
      <c r="D1317" t="s">
        <v>138</v>
      </c>
      <c r="E1317">
        <v>3</v>
      </c>
      <c r="H1317">
        <v>160</v>
      </c>
      <c r="I1317" t="s">
        <v>124</v>
      </c>
      <c r="J1317" t="s">
        <v>139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>"20:29:09.828"</f>
        <v>20:29:09.828</v>
      </c>
      <c r="T1317" t="str">
        <f>"20:29:08.128"</f>
        <v>20:29:08.128</v>
      </c>
      <c r="U1317" t="str">
        <f t="shared" si="144"/>
        <v>AA0632</v>
      </c>
      <c r="V1317">
        <v>0</v>
      </c>
      <c r="W1317">
        <v>0</v>
      </c>
      <c r="X1317">
        <v>2</v>
      </c>
      <c r="Y1317">
        <v>0</v>
      </c>
      <c r="AA1317">
        <v>0</v>
      </c>
      <c r="AB1317">
        <v>9</v>
      </c>
      <c r="AC1317">
        <v>3</v>
      </c>
      <c r="AD1317">
        <v>0</v>
      </c>
      <c r="AE1317">
        <v>10</v>
      </c>
      <c r="AF1317" t="s">
        <v>126</v>
      </c>
      <c r="AG1317">
        <v>0</v>
      </c>
      <c r="AH1317">
        <v>0</v>
      </c>
      <c r="AI1317">
        <v>2</v>
      </c>
      <c r="AJ1317">
        <v>0</v>
      </c>
      <c r="AK1317" t="s">
        <v>496</v>
      </c>
      <c r="AL1317">
        <v>31.923608999999999</v>
      </c>
      <c r="AM1317" t="s">
        <v>672</v>
      </c>
      <c r="AN1317">
        <v>-100.96924799999999</v>
      </c>
      <c r="AQ1317" t="s">
        <v>129</v>
      </c>
      <c r="AR1317">
        <v>0</v>
      </c>
      <c r="AS1317">
        <v>3</v>
      </c>
      <c r="AT1317">
        <v>128</v>
      </c>
      <c r="BB1317" t="str">
        <f t="shared" si="145"/>
        <v>1200</v>
      </c>
      <c r="BC1317">
        <v>1</v>
      </c>
      <c r="BD1317" t="str">
        <f t="shared" si="149"/>
        <v xml:space="preserve">N745MB  </v>
      </c>
      <c r="BE1317">
        <v>1</v>
      </c>
      <c r="BG1317">
        <v>0</v>
      </c>
      <c r="BH1317">
        <v>0</v>
      </c>
      <c r="BI1317">
        <v>0</v>
      </c>
      <c r="BL1317" t="s">
        <v>130</v>
      </c>
      <c r="BM1317">
        <v>1</v>
      </c>
      <c r="BN1317">
        <v>0</v>
      </c>
      <c r="BO1317">
        <v>0</v>
      </c>
      <c r="BP1317">
        <v>0</v>
      </c>
      <c r="BT1317">
        <v>0</v>
      </c>
      <c r="BU1317">
        <v>0</v>
      </c>
      <c r="CE1317" t="str">
        <f>"20:29:09.830"</f>
        <v>20:29:09.830</v>
      </c>
      <c r="CF1317">
        <v>829511037</v>
      </c>
      <c r="CS1317">
        <v>0</v>
      </c>
      <c r="CT1317">
        <v>2</v>
      </c>
      <c r="CU1317">
        <v>0</v>
      </c>
      <c r="CV1317">
        <v>2</v>
      </c>
      <c r="CW1317">
        <v>0</v>
      </c>
      <c r="CX1317">
        <v>2</v>
      </c>
      <c r="CY1317">
        <v>7</v>
      </c>
      <c r="CZ1317" t="s">
        <v>131</v>
      </c>
      <c r="DA1317">
        <v>116</v>
      </c>
      <c r="DB1317">
        <v>0</v>
      </c>
      <c r="DC1317" t="s">
        <v>132</v>
      </c>
      <c r="DD1317" t="s">
        <v>133</v>
      </c>
      <c r="DG1317">
        <v>14826644</v>
      </c>
      <c r="DI1317">
        <v>0</v>
      </c>
      <c r="DJ1317">
        <v>1</v>
      </c>
      <c r="DK1317">
        <v>1</v>
      </c>
      <c r="DL1317">
        <v>0</v>
      </c>
      <c r="DM1317">
        <v>0</v>
      </c>
      <c r="DN1317">
        <v>0</v>
      </c>
      <c r="DO1317">
        <v>0</v>
      </c>
      <c r="DP1317">
        <v>1</v>
      </c>
      <c r="DQ1317">
        <v>0</v>
      </c>
      <c r="DR1317">
        <v>0</v>
      </c>
      <c r="DS1317">
        <v>1</v>
      </c>
    </row>
    <row r="1318" spans="1:123" x14ac:dyDescent="0.25">
      <c r="A1318" t="str">
        <f>"11/29/2023 20:29:10.181"</f>
        <v>11/29/2023 20:29:10.181</v>
      </c>
      <c r="C1318" t="str">
        <f t="shared" si="148"/>
        <v>FFDF53C0</v>
      </c>
      <c r="D1318" t="s">
        <v>135</v>
      </c>
      <c r="E1318">
        <v>31</v>
      </c>
      <c r="H1318">
        <v>285</v>
      </c>
      <c r="I1318" t="s">
        <v>136</v>
      </c>
      <c r="J1318" t="s">
        <v>137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>"20:29:09.828"</f>
        <v>20:29:09.828</v>
      </c>
      <c r="T1318" t="str">
        <f>"20:29:08.128"</f>
        <v>20:29:08.128</v>
      </c>
      <c r="U1318" t="str">
        <f t="shared" si="144"/>
        <v>AA0632</v>
      </c>
      <c r="V1318">
        <v>0</v>
      </c>
      <c r="W1318">
        <v>0</v>
      </c>
      <c r="X1318">
        <v>2</v>
      </c>
      <c r="Y1318">
        <v>0</v>
      </c>
      <c r="AA1318">
        <v>0</v>
      </c>
      <c r="AB1318">
        <v>9</v>
      </c>
      <c r="AC1318">
        <v>3</v>
      </c>
      <c r="AD1318">
        <v>0</v>
      </c>
      <c r="AE1318">
        <v>10</v>
      </c>
      <c r="AF1318" t="s">
        <v>126</v>
      </c>
      <c r="AG1318">
        <v>0</v>
      </c>
      <c r="AH1318">
        <v>0</v>
      </c>
      <c r="AI1318">
        <v>2</v>
      </c>
      <c r="AJ1318">
        <v>0</v>
      </c>
      <c r="AK1318" t="s">
        <v>496</v>
      </c>
      <c r="AL1318">
        <v>31.923608999999999</v>
      </c>
      <c r="AM1318" t="s">
        <v>672</v>
      </c>
      <c r="AN1318">
        <v>-100.96924799999999</v>
      </c>
      <c r="AQ1318" t="s">
        <v>129</v>
      </c>
      <c r="AR1318">
        <v>0</v>
      </c>
      <c r="AS1318">
        <v>3</v>
      </c>
      <c r="AT1318">
        <v>128</v>
      </c>
      <c r="BB1318" t="str">
        <f t="shared" si="145"/>
        <v>1200</v>
      </c>
      <c r="BC1318">
        <v>1</v>
      </c>
      <c r="BD1318" t="str">
        <f t="shared" si="149"/>
        <v xml:space="preserve">N745MB  </v>
      </c>
      <c r="BE1318">
        <v>1</v>
      </c>
      <c r="BG1318">
        <v>0</v>
      </c>
      <c r="BH1318">
        <v>0</v>
      </c>
      <c r="BI1318">
        <v>0</v>
      </c>
      <c r="BL1318" t="s">
        <v>130</v>
      </c>
      <c r="BM1318">
        <v>1</v>
      </c>
      <c r="BN1318">
        <v>0</v>
      </c>
      <c r="BO1318">
        <v>0</v>
      </c>
      <c r="BP1318">
        <v>0</v>
      </c>
      <c r="BT1318">
        <v>0</v>
      </c>
      <c r="BU1318">
        <v>0</v>
      </c>
      <c r="CE1318" t="str">
        <f>"20:29:09.830"</f>
        <v>20:29:09.830</v>
      </c>
      <c r="CF1318">
        <v>829511037</v>
      </c>
      <c r="CS1318">
        <v>0</v>
      </c>
      <c r="CT1318">
        <v>2</v>
      </c>
      <c r="CU1318">
        <v>0</v>
      </c>
      <c r="CV1318">
        <v>2</v>
      </c>
      <c r="CW1318">
        <v>0</v>
      </c>
      <c r="CX1318">
        <v>2</v>
      </c>
      <c r="CY1318">
        <v>7</v>
      </c>
      <c r="CZ1318" t="s">
        <v>131</v>
      </c>
      <c r="DA1318">
        <v>116</v>
      </c>
      <c r="DB1318">
        <v>0</v>
      </c>
      <c r="DC1318" t="s">
        <v>132</v>
      </c>
      <c r="DD1318" t="s">
        <v>133</v>
      </c>
      <c r="DG1318">
        <v>14826644</v>
      </c>
      <c r="DI1318">
        <v>0</v>
      </c>
      <c r="DJ1318">
        <v>1</v>
      </c>
      <c r="DK1318">
        <v>1</v>
      </c>
      <c r="DL1318">
        <v>0</v>
      </c>
      <c r="DM1318">
        <v>0</v>
      </c>
      <c r="DN1318">
        <v>0</v>
      </c>
      <c r="DO1318">
        <v>0</v>
      </c>
      <c r="DP1318">
        <v>1</v>
      </c>
      <c r="DQ1318">
        <v>0</v>
      </c>
      <c r="DR1318">
        <v>0</v>
      </c>
      <c r="DS1318">
        <v>1</v>
      </c>
    </row>
    <row r="1319" spans="1:123" x14ac:dyDescent="0.25">
      <c r="A1319" t="str">
        <f>"11/29/2023 20:29:10.181"</f>
        <v>11/29/2023 20:29:10.181</v>
      </c>
      <c r="C1319" t="str">
        <f t="shared" si="148"/>
        <v>FFDF53C0</v>
      </c>
      <c r="D1319" t="s">
        <v>123</v>
      </c>
      <c r="E1319">
        <v>14</v>
      </c>
      <c r="F1319">
        <v>1014</v>
      </c>
      <c r="G1319" t="s">
        <v>124</v>
      </c>
      <c r="J1319" t="s">
        <v>125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>"20:29:09.828"</f>
        <v>20:29:09.828</v>
      </c>
      <c r="T1319" t="str">
        <f>"20:29:08.128"</f>
        <v>20:29:08.128</v>
      </c>
      <c r="U1319" t="str">
        <f t="shared" si="144"/>
        <v>AA0632</v>
      </c>
      <c r="V1319">
        <v>0</v>
      </c>
      <c r="W1319">
        <v>0</v>
      </c>
      <c r="X1319">
        <v>2</v>
      </c>
      <c r="Y1319">
        <v>0</v>
      </c>
      <c r="AA1319">
        <v>0</v>
      </c>
      <c r="AB1319">
        <v>9</v>
      </c>
      <c r="AC1319">
        <v>3</v>
      </c>
      <c r="AD1319">
        <v>0</v>
      </c>
      <c r="AE1319">
        <v>10</v>
      </c>
      <c r="AF1319" t="s">
        <v>126</v>
      </c>
      <c r="AG1319">
        <v>0</v>
      </c>
      <c r="AH1319">
        <v>0</v>
      </c>
      <c r="AI1319">
        <v>2</v>
      </c>
      <c r="AJ1319">
        <v>0</v>
      </c>
      <c r="AK1319" t="s">
        <v>496</v>
      </c>
      <c r="AL1319">
        <v>31.923608999999999</v>
      </c>
      <c r="AM1319" t="s">
        <v>672</v>
      </c>
      <c r="AN1319">
        <v>-100.96924799999999</v>
      </c>
      <c r="AQ1319" t="s">
        <v>129</v>
      </c>
      <c r="AR1319">
        <v>0</v>
      </c>
      <c r="AS1319">
        <v>3</v>
      </c>
      <c r="AT1319">
        <v>128</v>
      </c>
      <c r="BB1319" t="str">
        <f t="shared" si="145"/>
        <v>1200</v>
      </c>
      <c r="BC1319">
        <v>1</v>
      </c>
      <c r="BD1319" t="str">
        <f t="shared" si="149"/>
        <v xml:space="preserve">N745MB  </v>
      </c>
      <c r="BE1319">
        <v>1</v>
      </c>
      <c r="BG1319">
        <v>0</v>
      </c>
      <c r="BH1319">
        <v>0</v>
      </c>
      <c r="BI1319">
        <v>0</v>
      </c>
      <c r="BL1319" t="s">
        <v>130</v>
      </c>
      <c r="BM1319">
        <v>1</v>
      </c>
      <c r="BN1319">
        <v>0</v>
      </c>
      <c r="BO1319">
        <v>0</v>
      </c>
      <c r="BP1319">
        <v>0</v>
      </c>
      <c r="BT1319">
        <v>0</v>
      </c>
      <c r="BU1319">
        <v>0</v>
      </c>
      <c r="CE1319" t="str">
        <f>"20:29:09.830"</f>
        <v>20:29:09.830</v>
      </c>
      <c r="CF1319">
        <v>829511037</v>
      </c>
      <c r="CS1319">
        <v>0</v>
      </c>
      <c r="CT1319">
        <v>2</v>
      </c>
      <c r="CU1319">
        <v>0</v>
      </c>
      <c r="CV1319">
        <v>2</v>
      </c>
      <c r="CW1319">
        <v>0</v>
      </c>
      <c r="CX1319">
        <v>2</v>
      </c>
      <c r="CY1319">
        <v>7</v>
      </c>
      <c r="CZ1319" t="s">
        <v>131</v>
      </c>
      <c r="DA1319">
        <v>116</v>
      </c>
      <c r="DB1319">
        <v>0</v>
      </c>
      <c r="DC1319" t="s">
        <v>132</v>
      </c>
      <c r="DD1319" t="s">
        <v>133</v>
      </c>
      <c r="DG1319">
        <v>14826644</v>
      </c>
      <c r="DI1319">
        <v>0</v>
      </c>
      <c r="DJ1319">
        <v>1</v>
      </c>
      <c r="DK1319">
        <v>1</v>
      </c>
      <c r="DL1319">
        <v>0</v>
      </c>
      <c r="DM1319">
        <v>0</v>
      </c>
      <c r="DN1319">
        <v>0</v>
      </c>
      <c r="DO1319">
        <v>0</v>
      </c>
      <c r="DP1319">
        <v>1</v>
      </c>
      <c r="DQ1319">
        <v>0</v>
      </c>
      <c r="DR1319">
        <v>0</v>
      </c>
      <c r="DS13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20231129_AA0632_534503465_ADSB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Michael Hodges</cp:lastModifiedBy>
  <dcterms:created xsi:type="dcterms:W3CDTF">2023-11-30T14:15:29Z</dcterms:created>
  <dcterms:modified xsi:type="dcterms:W3CDTF">2023-12-03T22:03:38Z</dcterms:modified>
</cp:coreProperties>
</file>